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19">'Łącznie'!$A$1:$T$62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<sst xmlns="http://schemas.openxmlformats.org/spreadsheetml/2006/main" count="2571" uniqueCount="251">
  <si>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</si>
  <si>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</si>
  <si>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</si>
  <si>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</si>
  <si>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</si>
  <si>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</si>
  <si>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</si>
  <si>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</si>
  <si>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</si>
  <si>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</si>
  <si>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</si>
  <si>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</si>
  <si>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</si>
  <si>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</si>
  <si>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</si>
  <si>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</si>
  <si>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</si>
  <si>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</si>
  <si>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</si>
  <si>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</si>
  <si>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</si>
  <si>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</si>
  <si>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</si>
  <si>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</si>
  <si>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</si>
  <si>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</si>
  <si>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</si>
  <si>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</si>
  <si>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</si>
  <si>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</si>
  <si>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</si>
  <si>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</si>
  <si>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</si>
  <si>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</si>
  <si>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</si>
  <si>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</si>
  <si>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</si>
  <si>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</si>
  <si>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</si>
  <si>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</si>
  <si>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</si>
  <si>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</si>
  <si>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</si>
  <si>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</si>
  <si>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</si>
  <si>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</si>
  <si>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</si>
  <si>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</si>
  <si>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</si>
  <si>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</si>
  <si>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</si>
  <si>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</si>
  <si>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</si>
  <si>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</si>
  <si>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</si>
  <si>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</si>
  <si>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</si>
  <si>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</si>
  <si>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</si>
  <si>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</si>
  <si>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</si>
  <si>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</si>
  <si>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</si>
  <si>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</si>
  <si>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</si>
  <si>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</si>
  <si>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</si>
  <si>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</si>
  <si>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</si>
  <si>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</si>
  <si>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</si>
  <si>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</si>
  <si>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</si>
  <si>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</si>
  <si>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</si>
  <si>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</si>
  <si>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</si>
  <si>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</si>
  <si>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</si>
  <si>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</si>
  <si>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</si>
  <si>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</si>
  <si>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</si>
  <si>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</si>
  <si>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</si>
  <si>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</si>
  <si>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</si>
  <si>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</si>
  <si>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</si>
  <si>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</si>
  <si>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</si>
  <si>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</si>
  <si>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</si>
  <si>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</si>
  <si>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</si>
  <si>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</si>
  <si>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</si>
  <si>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</si>
  <si>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</si>
  <si>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</si>
  <si>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</si>
  <si>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</si>
  <si>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</si>
  <si>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</si>
  <si>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</si>
  <si>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</si>
  <si>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</si>
  <si>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</si>
  <si>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</si>
  <si>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</si>
  <si>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</si>
  <si>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</si>
  <si>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</si>
  <si>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</si>
  <si>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</si>
  <si>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</si>
  <si>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</si>
  <si>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</si>
  <si>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</si>
  <si>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</si>
  <si>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</si>
  <si>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</si>
  <si>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</si>
  <si>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</si>
  <si>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</si>
  <si>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</si>
  <si>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</si>
  <si>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</si>
  <si>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</si>
  <si>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</si>
  <si>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</si>
  <si>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</si>
  <si>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</si>
  <si>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</si>
  <si>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</si>
  <si>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</si>
  <si>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</si>
  <si>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</si>
  <si>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</si>
  <si>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</si>
  <si>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</si>
  <si>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</si>
  <si>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</si>
  <si>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</si>
  <si>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</si>
  <si>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</si>
  <si>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</si>
  <si>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</si>
  <si>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</si>
  <si>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</si>
  <si>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</si>
  <si>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</si>
  <si>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</si>
  <si>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</si>
  <si>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</si>
  <si>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</si>
  <si>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</si>
  <si>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</si>
  <si>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</si>
  <si>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</si>
  <si>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</si>
  <si>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</si>
  <si>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</si>
  <si>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</si>
  <si>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</si>
  <si>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</si>
  <si>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</si>
  <si>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</si>
  <si>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</si>
  <si>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</si>
  <si>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</si>
  <si>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</si>
  <si>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</si>
  <si>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</si>
  <si>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</si>
  <si>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</si>
  <si>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</si>
  <si>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</si>
  <si>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</si>
  <si>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</si>
  <si>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</si>
  <si>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</si>
  <si>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</si>
  <si>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</si>
  <si>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</si>
  <si>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</si>
  <si>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</si>
  <si>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</si>
  <si>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</si>
  <si>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</si>
  <si>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</si>
  <si>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</si>
  <si>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</si>
  <si>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</si>
  <si>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</si>
  <si>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</si>
  <si>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</si>
  <si>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</si>
  <si>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</si>
  <si>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</si>
  <si>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</si>
  <si>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</si>
  <si>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</si>
  <si>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</si>
  <si>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</si>
  <si>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</si>
  <si>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Plan na
2013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</si>
  <si>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</si>
  <si>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</si>
  <si>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</si>
  <si>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</si>
  <si>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</si>
  <si>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</si>
  <si>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</si>
  <si>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</si>
  <si>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</si>
  <si>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</si>
  <si>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</si>
  <si>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</si>
  <si>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</si>
  <si>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</si>
  <si>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</si>
  <si>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</si>
  <si>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</si>
  <si>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</si>
  <si>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</si>
  <si>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</si>
  <si>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</si>
  <si>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</si>
  <si>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</si>
  <si>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</si>
  <si>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</si>
  <si>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</si>
  <si>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</si>
  <si>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</si>
  <si>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</si>
  <si>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</si>
  <si>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</si>
  <si>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</si>
  <si>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</si>
  <si>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</si>
  <si>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</si>
  <si>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</si>
  <si>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</si>
  <si>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</si>
  <si>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</si>
  <si>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</si>
  <si>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Koszty świadczeń opieki zdrowotnej (B2.1+...+B2.18), w tym:</t>
  </si>
  <si>
    <t>podatki i opłaty</t>
  </si>
  <si>
    <t>`</t>
  </si>
  <si>
    <t>ZMIANA PLANU FINANSOWEGO NARODOWEGO FUNDUSZU ZDROWIA NA 2013 ROK Z DNIA 31 LIPCA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</si>
</sst>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18"/>
      <color indexed="9"/>
      <name val="Times New Roman"/>
      <family val="1"/>
    </font>
    <font>
      <b/>
      <sz val="14"/>
      <color indexed="9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0"/>
      <name val="Times New Roman"/>
      <family val="1"/>
    </font>
    <font>
      <b/>
      <sz val="14"/>
      <color theme="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34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23" fillId="0" borderId="10" xfId="67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1"/>
      <protection/>
    </xf>
    <xf numFmtId="0" fontId="5" fillId="34" borderId="10" xfId="67" applyFont="1" applyFill="1" applyBorder="1" applyAlignment="1" applyProtection="1">
      <alignment horizontal="left" vertical="center" wrapText="1" indent="1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4" fillId="0" borderId="10" xfId="66" applyFont="1" applyFill="1" applyBorder="1" applyAlignment="1" applyProtection="1">
      <alignment horizontal="left" vertical="center" wrapText="1" indent="2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left" vertical="center" wrapText="1" indent="3"/>
      <protection/>
    </xf>
    <xf numFmtId="0" fontId="3" fillId="0" borderId="10" xfId="66" applyFont="1" applyFill="1" applyBorder="1" applyAlignment="1" applyProtection="1">
      <alignment horizontal="left" vertical="center" wrapText="1" indent="4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center" vertical="center" wrapText="1"/>
      <protection/>
    </xf>
    <xf numFmtId="0" fontId="22" fillId="34" borderId="10" xfId="67" applyFont="1" applyFill="1" applyBorder="1" applyAlignment="1" applyProtection="1" quotePrefix="1">
      <alignment horizontal="center" vertical="center" wrapText="1"/>
      <protection/>
    </xf>
    <xf numFmtId="0" fontId="22" fillId="34" borderId="10" xfId="67" applyFont="1" applyFill="1" applyBorder="1" applyAlignment="1" applyProtection="1" quotePrefix="1">
      <alignment horizontal="left" vertical="center" wrapText="1" indent="1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 quotePrefix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2"/>
      <protection/>
    </xf>
    <xf numFmtId="0" fontId="12" fillId="34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6" applyFont="1" applyFill="1" applyBorder="1" applyAlignment="1" applyProtection="1">
      <alignment horizontal="left" vertical="center" wrapText="1" indent="3"/>
      <protection/>
    </xf>
    <xf numFmtId="0" fontId="17" fillId="0" borderId="10" xfId="66" applyFont="1" applyFill="1" applyBorder="1" applyAlignment="1" applyProtection="1">
      <alignment horizontal="left" vertical="center" wrapText="1" indent="4"/>
      <protection/>
    </xf>
    <xf numFmtId="0" fontId="22" fillId="34" borderId="10" xfId="66" applyFont="1" applyFill="1" applyBorder="1" applyAlignment="1" applyProtection="1">
      <alignment horizontal="center" vertical="center" wrapText="1"/>
      <protection/>
    </xf>
    <xf numFmtId="0" fontId="22" fillId="34" borderId="10" xfId="66" applyFont="1" applyFill="1" applyBorder="1" applyAlignment="1" applyProtection="1">
      <alignment horizontal="left" vertical="center" wrapText="1" indent="1"/>
      <protection/>
    </xf>
    <xf numFmtId="0" fontId="22" fillId="34" borderId="11" xfId="66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7" applyFont="1" applyFill="1" applyBorder="1" applyAlignment="1" applyProtection="1">
      <alignment horizontal="left" vertical="center" wrapText="1" indent="2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4" fillId="35" borderId="10" xfId="67" applyFont="1" applyFill="1" applyBorder="1" applyAlignment="1" applyProtection="1">
      <alignment horizontal="center" vertical="center" wrapText="1"/>
      <protection/>
    </xf>
    <xf numFmtId="0" fontId="7" fillId="35" borderId="10" xfId="67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69" fillId="33" borderId="0" xfId="69" applyNumberFormat="1" applyFont="1" applyFill="1" applyBorder="1" applyAlignment="1" applyProtection="1">
      <alignment vertical="center"/>
      <protection locked="0"/>
    </xf>
    <xf numFmtId="3" fontId="13" fillId="36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37" borderId="10" xfId="65" applyFont="1" applyFill="1" applyBorder="1" applyAlignment="1" applyProtection="1">
      <alignment horizontal="center" vertical="center" wrapText="1"/>
      <protection locked="0"/>
    </xf>
    <xf numFmtId="0" fontId="31" fillId="37" borderId="10" xfId="0" applyFont="1" applyFill="1" applyBorder="1" applyAlignment="1">
      <alignment horizontal="center" vertical="center" textRotation="90"/>
    </xf>
    <xf numFmtId="0" fontId="31" fillId="37" borderId="10" xfId="0" applyFont="1" applyFill="1" applyBorder="1" applyAlignment="1">
      <alignment horizontal="center" vertical="center" textRotation="90" wrapText="1"/>
    </xf>
    <xf numFmtId="49" fontId="32" fillId="37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67" applyFont="1" applyFill="1" applyBorder="1" applyAlignment="1" applyProtection="1">
      <alignment horizontal="center" vertical="center" wrapText="1"/>
      <protection locked="0"/>
    </xf>
    <xf numFmtId="0" fontId="5" fillId="37" borderId="10" xfId="67" applyFont="1" applyFill="1" applyBorder="1" applyAlignment="1" applyProtection="1">
      <alignment horizontal="left" vertical="center" wrapText="1" indent="1"/>
      <protection/>
    </xf>
    <xf numFmtId="3" fontId="21" fillId="3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0" fontId="12" fillId="0" borderId="10" xfId="67" applyFont="1" applyFill="1" applyBorder="1" applyAlignment="1" applyProtection="1">
      <alignment horizontal="center" vertical="center" wrapText="1"/>
      <protection locked="0"/>
    </xf>
    <xf numFmtId="0" fontId="12" fillId="37" borderId="10" xfId="67" applyFont="1" applyFill="1" applyBorder="1" applyAlignment="1" applyProtection="1">
      <alignment horizontal="center" vertical="center" wrapText="1"/>
      <protection locked="0"/>
    </xf>
    <xf numFmtId="0" fontId="12" fillId="37" borderId="10" xfId="67" applyFont="1" applyFill="1" applyBorder="1" applyAlignment="1" applyProtection="1">
      <alignment horizontal="left" vertical="center" wrapText="1" indent="1"/>
      <protection/>
    </xf>
    <xf numFmtId="3" fontId="5" fillId="37" borderId="10" xfId="0" applyNumberFormat="1" applyFont="1" applyFill="1" applyBorder="1" applyAlignment="1" applyProtection="1">
      <alignment horizontal="right" vertical="center"/>
      <protection locked="0"/>
    </xf>
    <xf numFmtId="0" fontId="12" fillId="37" borderId="10" xfId="67" applyFont="1" applyFill="1" applyBorder="1" applyAlignment="1" applyProtection="1">
      <alignment horizontal="center" vertical="center" wrapText="1"/>
      <protection/>
    </xf>
    <xf numFmtId="0" fontId="12" fillId="37" borderId="10" xfId="67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70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WfMgkr1" xfId="66"/>
    <cellStyle name="Normalny_Wzór z 09.10.2001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3-2015\Prognoza%20przychod&#243;w%202013-2015\Aktualizacja%2008-2012\Prognoza%20przychod&#243;w%20ze%20sk&#322;adek%202013-2015-aktualizacja%2007-08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3-2015\Prognoza%20przychod&#243;w%202013-2015\Prognoza%20przychod&#243;w%202012-2015%20-%20&#322;&#261;cznie%20-%2015-06-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yk_2010"/>
      <sheetName val="wyk_2011"/>
      <sheetName val="progn_2012"/>
      <sheetName val="progn_2013"/>
      <sheetName val="progn_2014"/>
      <sheetName val="progn_2015"/>
      <sheetName val="progn_2016"/>
      <sheetName val="MAKRO_WART"/>
      <sheetName val="progn_2011 - udost"/>
      <sheetName val="progn_2012_2015 - suma"/>
      <sheetName val="opis_L_12-15"/>
      <sheetName val="opis_P_12-15"/>
      <sheetName val="progn_2011_2014 i pl"/>
      <sheetName val="Św. i zas. przedemer"/>
    </sheetNames>
    <sheetDataSet>
      <sheetData sheetId="3">
        <row r="18">
          <cell r="M18">
            <v>61009272873.79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2-2015"/>
    </sheetNames>
    <sheetDataSet>
      <sheetData sheetId="0">
        <row r="14">
          <cell r="E14">
            <v>100000</v>
          </cell>
        </row>
        <row r="15">
          <cell r="E15">
            <v>0</v>
          </cell>
        </row>
        <row r="20">
          <cell r="E20">
            <v>152265</v>
          </cell>
        </row>
        <row r="21">
          <cell r="E21">
            <v>0</v>
          </cell>
        </row>
        <row r="23">
          <cell r="E23">
            <v>1839892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8" sqref="C8 C14:C15 C20:C21 C23 C86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5" width="20.75390625" style="7" customWidth="1"/>
    <col min="6" max="6" width="22.125" style="7" bestFit="1" customWidth="1"/>
    <col min="7" max="7" width="24.625" style="7" customWidth="1"/>
    <col min="8" max="8" width="17.00390625" style="7" customWidth="1"/>
    <col min="9" max="16384" width="9.125" style="7" customWidth="1"/>
  </cols>
  <sheetData>
    <row r="1" spans="1:6" s="75" customFormat="1" ht="57" customHeight="1">
      <c r="A1" s="141" t="s">
        <v>250</v>
      </c>
      <c r="B1" s="141"/>
      <c r="C1" s="141"/>
      <c r="D1" s="141"/>
      <c r="E1" s="141"/>
      <c r="F1" s="141"/>
    </row>
    <row r="2" spans="1:3" s="49" customFormat="1" ht="35.25" customHeight="1">
      <c r="A2" s="137" t="s">
        <v>200</v>
      </c>
      <c r="B2" s="137"/>
      <c r="C2" s="94"/>
    </row>
    <row r="3" spans="1:5" s="10" customFormat="1" ht="36" customHeight="1">
      <c r="A3" s="8"/>
      <c r="B3" s="9"/>
      <c r="C3" s="88"/>
      <c r="D3" s="88"/>
      <c r="E3" s="88" t="s">
        <v>166</v>
      </c>
    </row>
    <row r="4" spans="1:6" s="11" customFormat="1" ht="38.2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11" customFormat="1" ht="49.5" customHeight="1">
      <c r="A5" s="138"/>
      <c r="B5" s="138"/>
      <c r="C5" s="140"/>
      <c r="D5" s="140"/>
      <c r="E5" s="142"/>
      <c r="F5" s="142"/>
    </row>
    <row r="6" spans="1:6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14" customFormat="1" ht="63.75" customHeight="1">
      <c r="A7" s="53">
        <v>1</v>
      </c>
      <c r="B7" s="54" t="s">
        <v>135</v>
      </c>
      <c r="C7" s="13">
        <f>C8+C9</f>
        <v>64237866</v>
      </c>
      <c r="D7" s="13">
        <f>D8+D9</f>
        <v>64237866</v>
      </c>
      <c r="E7" s="13" t="str">
        <f>IF(C7=D7,"-",D7-C7)</f>
        <v>-</v>
      </c>
      <c r="F7" s="107">
        <f>IF(C7=0,"-",D7/C7)</f>
        <v>1</v>
      </c>
      <c r="G7" s="132"/>
      <c r="H7" s="132"/>
    </row>
    <row r="8" spans="1:8" ht="30" customHeight="1">
      <c r="A8" s="55" t="s">
        <v>79</v>
      </c>
      <c r="B8" s="56" t="s">
        <v>80</v>
      </c>
      <c r="C8" s="15">
        <f>ROUND('[4]progn_2013'!$M$18/1000,0)</f>
        <v>61009273</v>
      </c>
      <c r="D8" s="15">
        <f>C8</f>
        <v>61009273</v>
      </c>
      <c r="E8" s="15" t="str">
        <f aca="true" t="shared" si="0" ref="E8:E78">IF(C8=D8,"-",D8-C8)</f>
        <v>-</v>
      </c>
      <c r="F8" s="108">
        <f aca="true" t="shared" si="1" ref="F8:F78">IF(C8=0,"-",D8/C8)</f>
        <v>1</v>
      </c>
      <c r="G8" s="133"/>
      <c r="H8" s="132"/>
    </row>
    <row r="9" spans="1:8" ht="30" customHeight="1">
      <c r="A9" s="55" t="s">
        <v>81</v>
      </c>
      <c r="B9" s="56" t="s">
        <v>82</v>
      </c>
      <c r="C9" s="15">
        <v>3228593</v>
      </c>
      <c r="D9" s="15">
        <f>C9</f>
        <v>3228593</v>
      </c>
      <c r="E9" s="15" t="str">
        <f t="shared" si="0"/>
        <v>-</v>
      </c>
      <c r="F9" s="108">
        <f t="shared" si="1"/>
        <v>1</v>
      </c>
      <c r="G9" s="133"/>
      <c r="H9" s="132"/>
    </row>
    <row r="10" spans="1:8" s="14" customFormat="1" ht="63.75" customHeight="1">
      <c r="A10" s="53">
        <v>2</v>
      </c>
      <c r="B10" s="54" t="s">
        <v>132</v>
      </c>
      <c r="C10" s="13">
        <v>0</v>
      </c>
      <c r="D10" s="13">
        <v>0</v>
      </c>
      <c r="E10" s="13" t="str">
        <f t="shared" si="0"/>
        <v>-</v>
      </c>
      <c r="F10" s="107" t="str">
        <f t="shared" si="1"/>
        <v>-</v>
      </c>
      <c r="H10" s="132"/>
    </row>
    <row r="11" spans="1:8" ht="30" customHeight="1">
      <c r="A11" s="55" t="s">
        <v>83</v>
      </c>
      <c r="B11" s="56" t="s">
        <v>84</v>
      </c>
      <c r="C11" s="15">
        <v>0</v>
      </c>
      <c r="D11" s="15">
        <f>C11</f>
        <v>0</v>
      </c>
      <c r="E11" s="15" t="str">
        <f t="shared" si="0"/>
        <v>-</v>
      </c>
      <c r="F11" s="108" t="str">
        <f t="shared" si="1"/>
        <v>-</v>
      </c>
      <c r="H11" s="132"/>
    </row>
    <row r="12" spans="1:8" ht="30" customHeight="1">
      <c r="A12" s="55" t="s">
        <v>85</v>
      </c>
      <c r="B12" s="56" t="s">
        <v>86</v>
      </c>
      <c r="C12" s="15">
        <v>0</v>
      </c>
      <c r="D12" s="15">
        <f>C12</f>
        <v>0</v>
      </c>
      <c r="E12" s="15" t="str">
        <f t="shared" si="0"/>
        <v>-</v>
      </c>
      <c r="F12" s="108" t="str">
        <f t="shared" si="1"/>
        <v>-</v>
      </c>
      <c r="H12" s="132"/>
    </row>
    <row r="13" spans="1:8" s="14" customFormat="1" ht="39.75" customHeight="1">
      <c r="A13" s="53">
        <v>3</v>
      </c>
      <c r="B13" s="54" t="s">
        <v>87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7">
        <f t="shared" si="1"/>
        <v>1</v>
      </c>
      <c r="G13" s="132"/>
      <c r="H13" s="132"/>
    </row>
    <row r="14" spans="1:8" ht="30" customHeight="1">
      <c r="A14" s="55" t="s">
        <v>88</v>
      </c>
      <c r="B14" s="56" t="s">
        <v>80</v>
      </c>
      <c r="C14" s="15">
        <f>'[5]PP-PK 2012-2015'!E14</f>
        <v>100000</v>
      </c>
      <c r="D14" s="15">
        <f>C14</f>
        <v>100000</v>
      </c>
      <c r="E14" s="15" t="str">
        <f t="shared" si="0"/>
        <v>-</v>
      </c>
      <c r="F14" s="108">
        <f t="shared" si="1"/>
        <v>1</v>
      </c>
      <c r="G14" s="133"/>
      <c r="H14" s="132"/>
    </row>
    <row r="15" spans="1:8" ht="30" customHeight="1">
      <c r="A15" s="55" t="s">
        <v>89</v>
      </c>
      <c r="B15" s="56" t="s">
        <v>82</v>
      </c>
      <c r="C15" s="15">
        <f>'[5]PP-PK 2012-2015'!E15</f>
        <v>0</v>
      </c>
      <c r="D15" s="15">
        <f>C15</f>
        <v>0</v>
      </c>
      <c r="E15" s="15" t="str">
        <f t="shared" si="0"/>
        <v>-</v>
      </c>
      <c r="F15" s="108" t="str">
        <f t="shared" si="1"/>
        <v>-</v>
      </c>
      <c r="H15" s="132"/>
    </row>
    <row r="16" spans="1:8" s="14" customFormat="1" ht="39" customHeight="1">
      <c r="A16" s="53">
        <v>4</v>
      </c>
      <c r="B16" s="54" t="s">
        <v>191</v>
      </c>
      <c r="C16" s="13">
        <f>C17+C18</f>
        <v>123531</v>
      </c>
      <c r="D16" s="13">
        <f>D17+D18</f>
        <v>123531</v>
      </c>
      <c r="E16" s="13" t="str">
        <f t="shared" si="0"/>
        <v>-</v>
      </c>
      <c r="F16" s="107">
        <f t="shared" si="1"/>
        <v>1</v>
      </c>
      <c r="G16" s="132"/>
      <c r="H16" s="132"/>
    </row>
    <row r="17" spans="1:8" ht="30" customHeight="1">
      <c r="A17" s="57" t="s">
        <v>90</v>
      </c>
      <c r="B17" s="56" t="s">
        <v>91</v>
      </c>
      <c r="C17" s="15">
        <f>ROUND(C8*0.99*0.002,0)</f>
        <v>120798</v>
      </c>
      <c r="D17" s="15">
        <f>C17</f>
        <v>120798</v>
      </c>
      <c r="E17" s="15" t="str">
        <f t="shared" si="0"/>
        <v>-</v>
      </c>
      <c r="F17" s="108">
        <f t="shared" si="1"/>
        <v>1</v>
      </c>
      <c r="G17" s="133"/>
      <c r="H17" s="132"/>
    </row>
    <row r="18" spans="1:8" ht="30" customHeight="1">
      <c r="A18" s="57" t="s">
        <v>92</v>
      </c>
      <c r="B18" s="56" t="s">
        <v>93</v>
      </c>
      <c r="C18" s="15">
        <f>ROUND((C9-1862004)*0.002,0)</f>
        <v>2733</v>
      </c>
      <c r="D18" s="15">
        <f>C18</f>
        <v>2733</v>
      </c>
      <c r="E18" s="15" t="str">
        <f t="shared" si="0"/>
        <v>-</v>
      </c>
      <c r="F18" s="108">
        <f t="shared" si="1"/>
        <v>1</v>
      </c>
      <c r="G18" s="133"/>
      <c r="H18" s="132"/>
    </row>
    <row r="19" spans="1:8" s="14" customFormat="1" ht="63.75" customHeight="1">
      <c r="A19" s="58" t="s">
        <v>150</v>
      </c>
      <c r="B19" s="59" t="s">
        <v>149</v>
      </c>
      <c r="C19" s="13">
        <f>(C7-C10+C13-C16)+C20+C21+C22+C23</f>
        <v>66423581</v>
      </c>
      <c r="D19" s="13">
        <f>(D7-D10+D13-D16)+D20+D21+D22+D23</f>
        <v>66423581</v>
      </c>
      <c r="E19" s="13" t="str">
        <f t="shared" si="0"/>
        <v>-</v>
      </c>
      <c r="F19" s="107">
        <f t="shared" si="1"/>
        <v>1</v>
      </c>
      <c r="G19" s="132"/>
      <c r="H19" s="132"/>
    </row>
    <row r="20" spans="1:8" ht="31.5" customHeight="1">
      <c r="A20" s="55" t="s">
        <v>94</v>
      </c>
      <c r="B20" s="60" t="s">
        <v>95</v>
      </c>
      <c r="C20" s="15">
        <f>'[5]PP-PK 2012-2015'!E20</f>
        <v>152265</v>
      </c>
      <c r="D20" s="15">
        <f>C20</f>
        <v>152265</v>
      </c>
      <c r="E20" s="15" t="str">
        <f t="shared" si="0"/>
        <v>-</v>
      </c>
      <c r="F20" s="108">
        <f t="shared" si="1"/>
        <v>1</v>
      </c>
      <c r="G20" s="133"/>
      <c r="H20" s="132"/>
    </row>
    <row r="21" spans="1:8" ht="31.5" customHeight="1">
      <c r="A21" s="55" t="s">
        <v>96</v>
      </c>
      <c r="B21" s="60" t="s">
        <v>97</v>
      </c>
      <c r="C21" s="15">
        <f>'[5]PP-PK 2012-2015'!E21</f>
        <v>0</v>
      </c>
      <c r="D21" s="15">
        <f>C21</f>
        <v>0</v>
      </c>
      <c r="E21" s="15" t="str">
        <f t="shared" si="0"/>
        <v>-</v>
      </c>
      <c r="F21" s="108" t="str">
        <f t="shared" si="1"/>
        <v>-</v>
      </c>
      <c r="H21" s="132"/>
    </row>
    <row r="22" spans="1:8" ht="50.25" customHeight="1">
      <c r="A22" s="55" t="s">
        <v>98</v>
      </c>
      <c r="B22" s="60" t="s">
        <v>192</v>
      </c>
      <c r="C22" s="15">
        <f>ROUND(203112*103.5%,0)+ROUND(6636*103.5%,0)</f>
        <v>217089</v>
      </c>
      <c r="D22" s="15">
        <f>C22</f>
        <v>217089</v>
      </c>
      <c r="E22" s="15" t="str">
        <f t="shared" si="0"/>
        <v>-</v>
      </c>
      <c r="F22" s="108">
        <f t="shared" si="1"/>
        <v>1</v>
      </c>
      <c r="G22" s="133"/>
      <c r="H22" s="132"/>
    </row>
    <row r="23" spans="1:8" ht="31.5" customHeight="1">
      <c r="A23" s="55" t="s">
        <v>99</v>
      </c>
      <c r="B23" s="61" t="s">
        <v>100</v>
      </c>
      <c r="C23" s="15">
        <f>'[5]PP-PK 2012-2015'!E23</f>
        <v>1839892</v>
      </c>
      <c r="D23" s="15">
        <f>C23</f>
        <v>1839892</v>
      </c>
      <c r="E23" s="15" t="str">
        <f t="shared" si="0"/>
        <v>-</v>
      </c>
      <c r="F23" s="108">
        <f t="shared" si="1"/>
        <v>1</v>
      </c>
      <c r="G23" s="133"/>
      <c r="H23" s="132"/>
    </row>
    <row r="24" spans="1:8" s="14" customFormat="1" ht="36" customHeight="1">
      <c r="A24" s="58" t="s">
        <v>151</v>
      </c>
      <c r="B24" s="59" t="s">
        <v>131</v>
      </c>
      <c r="C24" s="13">
        <f>C25+C26+C53+C54</f>
        <v>65713105</v>
      </c>
      <c r="D24" s="13">
        <f>D25+D26+D53+D54</f>
        <v>65713105</v>
      </c>
      <c r="E24" s="13" t="str">
        <f t="shared" si="0"/>
        <v>-</v>
      </c>
      <c r="F24" s="107">
        <f t="shared" si="1"/>
        <v>1</v>
      </c>
      <c r="G24" s="132"/>
      <c r="H24" s="132"/>
    </row>
    <row r="25" spans="1:8" s="14" customFormat="1" ht="36" customHeight="1">
      <c r="A25" s="58" t="s">
        <v>101</v>
      </c>
      <c r="B25" s="59" t="s">
        <v>102</v>
      </c>
      <c r="C25" s="13">
        <f>ROUND(C7/100,0)</f>
        <v>642379</v>
      </c>
      <c r="D25" s="13">
        <f>C25</f>
        <v>642379</v>
      </c>
      <c r="E25" s="13" t="str">
        <f t="shared" si="0"/>
        <v>-</v>
      </c>
      <c r="F25" s="107">
        <f t="shared" si="1"/>
        <v>1</v>
      </c>
      <c r="G25" s="132"/>
      <c r="H25" s="132"/>
    </row>
    <row r="26" spans="1:8" s="14" customFormat="1" ht="36" customHeight="1">
      <c r="A26" s="58" t="s">
        <v>0</v>
      </c>
      <c r="B26" s="59" t="s">
        <v>196</v>
      </c>
      <c r="C26" s="24">
        <f>C27+C28+C29+C34+C35+C36+C37+C38+C39+C40+C41+C42+C43+C44+C48+C49+C51+C52</f>
        <v>63230834</v>
      </c>
      <c r="D26" s="24">
        <f>D27+D28+D29+D34+D35+D36+D37+D38+D39+D40+D41+D42+D43+D44+D48+D49+D51+D52</f>
        <v>63230834</v>
      </c>
      <c r="E26" s="109" t="str">
        <f>IF(C26=D26,"-",D26-C26)</f>
        <v>-</v>
      </c>
      <c r="F26" s="110">
        <f t="shared" si="1"/>
        <v>1</v>
      </c>
      <c r="G26" s="132"/>
      <c r="H26" s="132"/>
    </row>
    <row r="27" spans="1:8" ht="30" customHeight="1">
      <c r="A27" s="62" t="s">
        <v>1</v>
      </c>
      <c r="B27" s="64" t="s">
        <v>138</v>
      </c>
      <c r="C27" s="15">
        <f>CENTRALA!C8+'Razem OW'!C8</f>
        <v>7658782</v>
      </c>
      <c r="D27" s="15">
        <f>CENTRALA!D8+'Razem OW'!D8</f>
        <v>7658782</v>
      </c>
      <c r="E27" s="80" t="str">
        <f t="shared" si="0"/>
        <v>-</v>
      </c>
      <c r="F27" s="108">
        <f t="shared" si="1"/>
        <v>1</v>
      </c>
      <c r="G27" s="133"/>
      <c r="H27" s="132"/>
    </row>
    <row r="28" spans="1:8" ht="30" customHeight="1">
      <c r="A28" s="62" t="s">
        <v>2</v>
      </c>
      <c r="B28" s="64" t="s">
        <v>139</v>
      </c>
      <c r="C28" s="15">
        <f>CENTRALA!C9+'Razem OW'!C9</f>
        <v>5282551</v>
      </c>
      <c r="D28" s="15">
        <f>CENTRALA!D9+'Razem OW'!D9</f>
        <v>5282551</v>
      </c>
      <c r="E28" s="80" t="str">
        <f>IF(C28=D28,"-",D28-C28)</f>
        <v>-</v>
      </c>
      <c r="F28" s="108">
        <f t="shared" si="1"/>
        <v>1</v>
      </c>
      <c r="G28" s="133"/>
      <c r="H28" s="132"/>
    </row>
    <row r="29" spans="1:8" ht="30" customHeight="1">
      <c r="A29" s="62" t="s">
        <v>3</v>
      </c>
      <c r="B29" s="64" t="s">
        <v>136</v>
      </c>
      <c r="C29" s="80">
        <f>CENTRALA!C10+'Razem OW'!C10</f>
        <v>30155165</v>
      </c>
      <c r="D29" s="80">
        <f>CENTRALA!D10+'Razem OW'!D10</f>
        <v>30155165</v>
      </c>
      <c r="E29" s="80" t="str">
        <f t="shared" si="0"/>
        <v>-</v>
      </c>
      <c r="F29" s="108">
        <f t="shared" si="1"/>
        <v>1</v>
      </c>
      <c r="G29" s="133"/>
      <c r="H29" s="132"/>
    </row>
    <row r="30" spans="1:8" ht="30" customHeight="1">
      <c r="A30" s="62" t="s">
        <v>58</v>
      </c>
      <c r="B30" s="63" t="s">
        <v>167</v>
      </c>
      <c r="C30" s="15">
        <f>CENTRALA!C11+'Razem OW'!C11</f>
        <v>2310764</v>
      </c>
      <c r="D30" s="15">
        <f>CENTRALA!D11+'Razem OW'!D11</f>
        <v>2310764</v>
      </c>
      <c r="E30" s="80" t="str">
        <f t="shared" si="0"/>
        <v>-</v>
      </c>
      <c r="F30" s="108">
        <f t="shared" si="1"/>
        <v>1</v>
      </c>
      <c r="G30" s="133"/>
      <c r="H30" s="132"/>
    </row>
    <row r="31" spans="1:8" ht="30" customHeight="1">
      <c r="A31" s="62" t="s">
        <v>168</v>
      </c>
      <c r="B31" s="63" t="s">
        <v>171</v>
      </c>
      <c r="C31" s="15">
        <f>CENTRALA!C12+'Razem OW'!C12</f>
        <v>2080509</v>
      </c>
      <c r="D31" s="15">
        <f>CENTRALA!D12+'Razem OW'!D12</f>
        <v>2080509</v>
      </c>
      <c r="E31" s="80" t="str">
        <f t="shared" si="0"/>
        <v>-</v>
      </c>
      <c r="F31" s="108">
        <f t="shared" si="1"/>
        <v>1</v>
      </c>
      <c r="G31" s="133"/>
      <c r="H31" s="132"/>
    </row>
    <row r="32" spans="1:8" ht="30" customHeight="1">
      <c r="A32" s="62" t="s">
        <v>169</v>
      </c>
      <c r="B32" s="63" t="s">
        <v>172</v>
      </c>
      <c r="C32" s="15">
        <f>CENTRALA!C13+'Razem OW'!C13</f>
        <v>1379126</v>
      </c>
      <c r="D32" s="15">
        <f>CENTRALA!D13+'Razem OW'!D13</f>
        <v>1379126</v>
      </c>
      <c r="E32" s="80" t="str">
        <f t="shared" si="0"/>
        <v>-</v>
      </c>
      <c r="F32" s="108">
        <f t="shared" si="1"/>
        <v>1</v>
      </c>
      <c r="G32" s="133"/>
      <c r="H32" s="132"/>
    </row>
    <row r="33" spans="1:8" ht="30" customHeight="1">
      <c r="A33" s="62" t="s">
        <v>170</v>
      </c>
      <c r="B33" s="63" t="s">
        <v>173</v>
      </c>
      <c r="C33" s="15">
        <f>CENTRALA!C14+'Razem OW'!C14</f>
        <v>622600</v>
      </c>
      <c r="D33" s="15">
        <f>CENTRALA!D14+'Razem OW'!D14</f>
        <v>622600</v>
      </c>
      <c r="E33" s="80" t="str">
        <f t="shared" si="0"/>
        <v>-</v>
      </c>
      <c r="F33" s="108">
        <f t="shared" si="1"/>
        <v>1</v>
      </c>
      <c r="G33" s="133"/>
      <c r="H33" s="132"/>
    </row>
    <row r="34" spans="1:8" ht="30" customHeight="1">
      <c r="A34" s="62" t="s">
        <v>4</v>
      </c>
      <c r="B34" s="64" t="s">
        <v>144</v>
      </c>
      <c r="C34" s="15">
        <f>CENTRALA!C15+'Razem OW'!C15</f>
        <v>2281869</v>
      </c>
      <c r="D34" s="15">
        <f>CENTRALA!D15+'Razem OW'!D15</f>
        <v>2281869</v>
      </c>
      <c r="E34" s="80" t="str">
        <f t="shared" si="0"/>
        <v>-</v>
      </c>
      <c r="F34" s="108">
        <f t="shared" si="1"/>
        <v>1</v>
      </c>
      <c r="G34" s="133"/>
      <c r="H34" s="132"/>
    </row>
    <row r="35" spans="1:8" ht="30" customHeight="1">
      <c r="A35" s="62" t="s">
        <v>5</v>
      </c>
      <c r="B35" s="64" t="s">
        <v>140</v>
      </c>
      <c r="C35" s="15">
        <f>CENTRALA!C16+'Razem OW'!C16</f>
        <v>2069102</v>
      </c>
      <c r="D35" s="15">
        <f>CENTRALA!D16+'Razem OW'!D16</f>
        <v>2069102</v>
      </c>
      <c r="E35" s="80" t="str">
        <f t="shared" si="0"/>
        <v>-</v>
      </c>
      <c r="F35" s="108">
        <f t="shared" si="1"/>
        <v>1</v>
      </c>
      <c r="G35" s="133"/>
      <c r="H35" s="132"/>
    </row>
    <row r="36" spans="1:8" ht="30" customHeight="1">
      <c r="A36" s="62" t="s">
        <v>6</v>
      </c>
      <c r="B36" s="64" t="s">
        <v>146</v>
      </c>
      <c r="C36" s="15">
        <f>CENTRALA!C17+'Razem OW'!C17</f>
        <v>1085969</v>
      </c>
      <c r="D36" s="15">
        <f>CENTRALA!D17+'Razem OW'!D17</f>
        <v>1085969</v>
      </c>
      <c r="E36" s="80" t="str">
        <f t="shared" si="0"/>
        <v>-</v>
      </c>
      <c r="F36" s="108">
        <f t="shared" si="1"/>
        <v>1</v>
      </c>
      <c r="G36" s="133"/>
      <c r="H36" s="132"/>
    </row>
    <row r="37" spans="1:8" ht="30" customHeight="1">
      <c r="A37" s="62" t="s">
        <v>7</v>
      </c>
      <c r="B37" s="64" t="s">
        <v>145</v>
      </c>
      <c r="C37" s="15">
        <f>CENTRALA!C18+'Razem OW'!C18</f>
        <v>352505</v>
      </c>
      <c r="D37" s="15">
        <f>CENTRALA!D18+'Razem OW'!D18</f>
        <v>352505</v>
      </c>
      <c r="E37" s="80" t="str">
        <f>IF(C37=D37,"-",D37-C37)</f>
        <v>-</v>
      </c>
      <c r="F37" s="108">
        <f>IF(C37=0,"-",D37/C37)</f>
        <v>1</v>
      </c>
      <c r="G37" s="133"/>
      <c r="H37" s="132"/>
    </row>
    <row r="38" spans="1:8" ht="30" customHeight="1">
      <c r="A38" s="62" t="s">
        <v>8</v>
      </c>
      <c r="B38" s="64" t="s">
        <v>141</v>
      </c>
      <c r="C38" s="15">
        <f>CENTRALA!C19+'Razem OW'!C19</f>
        <v>1815812</v>
      </c>
      <c r="D38" s="15">
        <f>CENTRALA!D19+'Razem OW'!D19</f>
        <v>1815812</v>
      </c>
      <c r="E38" s="80" t="str">
        <f t="shared" si="0"/>
        <v>-</v>
      </c>
      <c r="F38" s="108">
        <f t="shared" si="1"/>
        <v>1</v>
      </c>
      <c r="G38" s="133"/>
      <c r="H38" s="132"/>
    </row>
    <row r="39" spans="1:8" ht="30" customHeight="1">
      <c r="A39" s="62" t="s">
        <v>9</v>
      </c>
      <c r="B39" s="64" t="s">
        <v>142</v>
      </c>
      <c r="C39" s="15">
        <f>CENTRALA!C20+'Razem OW'!C20</f>
        <v>622627</v>
      </c>
      <c r="D39" s="15">
        <f>CENTRALA!D20+'Razem OW'!D20</f>
        <v>622627</v>
      </c>
      <c r="E39" s="80" t="str">
        <f t="shared" si="0"/>
        <v>-</v>
      </c>
      <c r="F39" s="108">
        <f t="shared" si="1"/>
        <v>1</v>
      </c>
      <c r="G39" s="133"/>
      <c r="H39" s="132"/>
    </row>
    <row r="40" spans="1:8" ht="30" customHeight="1">
      <c r="A40" s="62" t="s">
        <v>10</v>
      </c>
      <c r="B40" s="64" t="s">
        <v>147</v>
      </c>
      <c r="C40" s="15">
        <f>CENTRALA!C21+'Razem OW'!C21</f>
        <v>47098</v>
      </c>
      <c r="D40" s="15">
        <f>CENTRALA!D21+'Razem OW'!D21</f>
        <v>47098</v>
      </c>
      <c r="E40" s="80" t="str">
        <f t="shared" si="0"/>
        <v>-</v>
      </c>
      <c r="F40" s="108">
        <f t="shared" si="1"/>
        <v>1</v>
      </c>
      <c r="G40" s="133"/>
      <c r="H40" s="132"/>
    </row>
    <row r="41" spans="1:8" ht="30" customHeight="1">
      <c r="A41" s="62" t="s">
        <v>11</v>
      </c>
      <c r="B41" s="64" t="s">
        <v>143</v>
      </c>
      <c r="C41" s="15">
        <f>CENTRALA!C22+'Razem OW'!C22</f>
        <v>177897</v>
      </c>
      <c r="D41" s="15">
        <f>CENTRALA!D22+'Razem OW'!D22</f>
        <v>177897</v>
      </c>
      <c r="E41" s="80" t="str">
        <f t="shared" si="0"/>
        <v>-</v>
      </c>
      <c r="F41" s="108">
        <f t="shared" si="1"/>
        <v>1</v>
      </c>
      <c r="G41" s="133"/>
      <c r="H41" s="132"/>
    </row>
    <row r="42" spans="1:8" ht="30" customHeight="1">
      <c r="A42" s="62" t="s">
        <v>12</v>
      </c>
      <c r="B42" s="64" t="s">
        <v>197</v>
      </c>
      <c r="C42" s="15">
        <f>CENTRALA!C23+'Razem OW'!C23</f>
        <v>1676611</v>
      </c>
      <c r="D42" s="15">
        <f>CENTRALA!D23+'Razem OW'!D23</f>
        <v>1676611</v>
      </c>
      <c r="E42" s="80" t="str">
        <f t="shared" si="0"/>
        <v>-</v>
      </c>
      <c r="F42" s="108">
        <f t="shared" si="1"/>
        <v>1</v>
      </c>
      <c r="G42" s="133"/>
      <c r="H42" s="132"/>
    </row>
    <row r="43" spans="1:8" ht="30" customHeight="1">
      <c r="A43" s="62" t="s">
        <v>13</v>
      </c>
      <c r="B43" s="64" t="s">
        <v>175</v>
      </c>
      <c r="C43" s="15">
        <f>CENTRALA!C24+'Razem OW'!C24</f>
        <v>822872</v>
      </c>
      <c r="D43" s="15">
        <f>CENTRALA!D24+'Razem OW'!D24</f>
        <v>822872</v>
      </c>
      <c r="E43" s="80" t="str">
        <f t="shared" si="0"/>
        <v>-</v>
      </c>
      <c r="F43" s="108">
        <f t="shared" si="1"/>
        <v>1</v>
      </c>
      <c r="G43" s="133"/>
      <c r="H43" s="132"/>
    </row>
    <row r="44" spans="1:8" ht="30" customHeight="1">
      <c r="A44" s="62" t="s">
        <v>14</v>
      </c>
      <c r="B44" s="64" t="s">
        <v>176</v>
      </c>
      <c r="C44" s="15">
        <f>CENTRALA!C25+'Razem OW'!C25</f>
        <v>8197974</v>
      </c>
      <c r="D44" s="15">
        <f>CENTRALA!D25+'Razem OW'!D25</f>
        <v>8197974</v>
      </c>
      <c r="E44" s="80" t="str">
        <f t="shared" si="0"/>
        <v>-</v>
      </c>
      <c r="F44" s="108">
        <f t="shared" si="1"/>
        <v>1</v>
      </c>
      <c r="G44" s="133"/>
      <c r="H44" s="132"/>
    </row>
    <row r="45" spans="1:8" ht="41.25" customHeight="1">
      <c r="A45" s="62" t="s">
        <v>148</v>
      </c>
      <c r="B45" s="63" t="s">
        <v>178</v>
      </c>
      <c r="C45" s="15">
        <f>CENTRALA!C26+'Razem OW'!C26</f>
        <v>8159247</v>
      </c>
      <c r="D45" s="15">
        <f>CENTRALA!D26+'Razem OW'!D26</f>
        <v>8159247</v>
      </c>
      <c r="E45" s="80" t="str">
        <f t="shared" si="0"/>
        <v>-</v>
      </c>
      <c r="F45" s="108">
        <f t="shared" si="1"/>
        <v>1</v>
      </c>
      <c r="G45" s="133"/>
      <c r="H45" s="132"/>
    </row>
    <row r="46" spans="1:8" ht="30" customHeight="1">
      <c r="A46" s="62" t="s">
        <v>177</v>
      </c>
      <c r="B46" s="63" t="s">
        <v>180</v>
      </c>
      <c r="C46" s="15">
        <f>CENTRALA!C27+'Razem OW'!C27</f>
        <v>29022</v>
      </c>
      <c r="D46" s="15">
        <f>CENTRALA!D27+'Razem OW'!D27</f>
        <v>29022</v>
      </c>
      <c r="E46" s="80" t="str">
        <f t="shared" si="0"/>
        <v>-</v>
      </c>
      <c r="F46" s="108">
        <f t="shared" si="1"/>
        <v>1</v>
      </c>
      <c r="G46" s="133"/>
      <c r="H46" s="132"/>
    </row>
    <row r="47" spans="1:8" ht="41.25" customHeight="1">
      <c r="A47" s="62" t="s">
        <v>181</v>
      </c>
      <c r="B47" s="63" t="s">
        <v>179</v>
      </c>
      <c r="C47" s="15">
        <f>CENTRALA!C28+'Razem OW'!C28</f>
        <v>9705</v>
      </c>
      <c r="D47" s="15">
        <f>CENTRALA!D28+'Razem OW'!D28</f>
        <v>9705</v>
      </c>
      <c r="E47" s="80" t="str">
        <f t="shared" si="0"/>
        <v>-</v>
      </c>
      <c r="F47" s="108">
        <f t="shared" si="1"/>
        <v>1</v>
      </c>
      <c r="G47" s="133"/>
      <c r="H47" s="132"/>
    </row>
    <row r="48" spans="1:8" ht="36" customHeight="1">
      <c r="A48" s="62" t="s">
        <v>15</v>
      </c>
      <c r="B48" s="64" t="s">
        <v>124</v>
      </c>
      <c r="C48" s="15">
        <f>CENTRALA!C29+'Razem OW'!C29</f>
        <v>482270</v>
      </c>
      <c r="D48" s="15">
        <f>CENTRALA!D29+'Razem OW'!D29</f>
        <v>482270</v>
      </c>
      <c r="E48" s="80" t="str">
        <f t="shared" si="0"/>
        <v>-</v>
      </c>
      <c r="F48" s="108">
        <f t="shared" si="1"/>
        <v>1</v>
      </c>
      <c r="G48" s="133"/>
      <c r="H48" s="132"/>
    </row>
    <row r="49" spans="1:8" ht="30" customHeight="1">
      <c r="A49" s="62" t="s">
        <v>121</v>
      </c>
      <c r="B49" s="64" t="s">
        <v>182</v>
      </c>
      <c r="C49" s="15">
        <f>CENTRALA!C30+'Razem OW'!C30</f>
        <v>6868</v>
      </c>
      <c r="D49" s="15">
        <f>CENTRALA!D30+'Razem OW'!D30</f>
        <v>6868</v>
      </c>
      <c r="E49" s="80" t="str">
        <f t="shared" si="0"/>
        <v>-</v>
      </c>
      <c r="F49" s="108">
        <f t="shared" si="1"/>
        <v>1</v>
      </c>
      <c r="G49" s="133"/>
      <c r="H49" s="132"/>
    </row>
    <row r="50" spans="1:8" ht="30" customHeight="1">
      <c r="A50" s="62" t="s">
        <v>183</v>
      </c>
      <c r="B50" s="64" t="s">
        <v>199</v>
      </c>
      <c r="C50" s="15">
        <f>CENTRALA!C31+'Razem OW'!C31</f>
        <v>0</v>
      </c>
      <c r="D50" s="15">
        <f>CENTRALA!D31+'Razem OW'!D31</f>
        <v>0</v>
      </c>
      <c r="E50" s="80" t="str">
        <f t="shared" si="0"/>
        <v>-</v>
      </c>
      <c r="F50" s="108" t="str">
        <f t="shared" si="1"/>
        <v>-</v>
      </c>
      <c r="H50" s="132"/>
    </row>
    <row r="51" spans="1:8" ht="30" customHeight="1">
      <c r="A51" s="62" t="s">
        <v>122</v>
      </c>
      <c r="B51" s="64" t="s">
        <v>125</v>
      </c>
      <c r="C51" s="15">
        <f>CENTRALA!C32+'Razem OW'!C32</f>
        <v>0</v>
      </c>
      <c r="D51" s="15">
        <f>CENTRALA!D32+'Razem OW'!D32</f>
        <v>0</v>
      </c>
      <c r="E51" s="80" t="str">
        <f t="shared" si="0"/>
        <v>-</v>
      </c>
      <c r="F51" s="108" t="str">
        <f t="shared" si="1"/>
        <v>-</v>
      </c>
      <c r="H51" s="132"/>
    </row>
    <row r="52" spans="1:8" ht="30" customHeight="1">
      <c r="A52" s="62" t="s">
        <v>123</v>
      </c>
      <c r="B52" s="64" t="s">
        <v>198</v>
      </c>
      <c r="C52" s="15">
        <f>CENTRALA!C33+'Razem OW'!C33</f>
        <v>494862</v>
      </c>
      <c r="D52" s="15">
        <f>CENTRALA!D33+'Razem OW'!D33</f>
        <v>494862</v>
      </c>
      <c r="E52" s="80" t="str">
        <f t="shared" si="0"/>
        <v>-</v>
      </c>
      <c r="F52" s="108">
        <f t="shared" si="1"/>
        <v>1</v>
      </c>
      <c r="G52" s="133"/>
      <c r="H52" s="132"/>
    </row>
    <row r="53" spans="1:8" s="14" customFormat="1" ht="30.75" customHeight="1">
      <c r="A53" s="33" t="s">
        <v>60</v>
      </c>
      <c r="B53" s="65" t="s">
        <v>103</v>
      </c>
      <c r="C53" s="22">
        <f>CENTRALA!C34+'Razem OW'!C34</f>
        <v>0</v>
      </c>
      <c r="D53" s="22">
        <f>C53</f>
        <v>0</v>
      </c>
      <c r="E53" s="22" t="str">
        <f t="shared" si="0"/>
        <v>-</v>
      </c>
      <c r="F53" s="111" t="str">
        <f t="shared" si="1"/>
        <v>-</v>
      </c>
      <c r="H53" s="132"/>
    </row>
    <row r="54" spans="1:8" s="14" customFormat="1" ht="30.75" customHeight="1">
      <c r="A54" s="33" t="s">
        <v>59</v>
      </c>
      <c r="B54" s="65" t="s">
        <v>62</v>
      </c>
      <c r="C54" s="13">
        <f>CENTRALA!C35+'Razem OW'!C35</f>
        <v>1839892</v>
      </c>
      <c r="D54" s="13">
        <f>CENTRALA!D35+'Razem OW'!D35</f>
        <v>1839892</v>
      </c>
      <c r="E54" s="13" t="str">
        <f t="shared" si="0"/>
        <v>-</v>
      </c>
      <c r="F54" s="107">
        <f t="shared" si="1"/>
        <v>1</v>
      </c>
      <c r="G54" s="132"/>
      <c r="H54" s="132"/>
    </row>
    <row r="55" spans="1:8" s="14" customFormat="1" ht="45.75" customHeight="1">
      <c r="A55" s="33" t="s">
        <v>184</v>
      </c>
      <c r="B55" s="65" t="s">
        <v>185</v>
      </c>
      <c r="C55" s="13">
        <f>CENTRALA!C36+'Razem OW'!C36</f>
        <v>10901083</v>
      </c>
      <c r="D55" s="13">
        <f>CENTRALA!D36+'Razem OW'!D36</f>
        <v>10901083</v>
      </c>
      <c r="E55" s="13" t="str">
        <f t="shared" si="0"/>
        <v>-</v>
      </c>
      <c r="F55" s="107">
        <f t="shared" si="1"/>
        <v>1</v>
      </c>
      <c r="G55" s="132"/>
      <c r="H55" s="132"/>
    </row>
    <row r="56" spans="1:8" s="14" customFormat="1" ht="33" customHeight="1">
      <c r="A56" s="53" t="s">
        <v>152</v>
      </c>
      <c r="B56" s="54" t="s">
        <v>130</v>
      </c>
      <c r="C56" s="13">
        <f>C19-C24</f>
        <v>710476</v>
      </c>
      <c r="D56" s="13">
        <f>D19-D24</f>
        <v>710476</v>
      </c>
      <c r="E56" s="13" t="str">
        <f t="shared" si="0"/>
        <v>-</v>
      </c>
      <c r="F56" s="107">
        <f t="shared" si="1"/>
        <v>1</v>
      </c>
      <c r="G56" s="132"/>
      <c r="H56" s="132"/>
    </row>
    <row r="57" spans="1:8" s="14" customFormat="1" ht="33" customHeight="1">
      <c r="A57" s="53" t="s">
        <v>153</v>
      </c>
      <c r="B57" s="54" t="s">
        <v>194</v>
      </c>
      <c r="C57" s="13">
        <f>C58+C59+C60+C68+C70+C75+C76+C77</f>
        <v>683464</v>
      </c>
      <c r="D57" s="13">
        <f>D58+D59+D60+D68+D70+D75+D76+D77</f>
        <v>689133</v>
      </c>
      <c r="E57" s="13">
        <f t="shared" si="0"/>
        <v>5669</v>
      </c>
      <c r="F57" s="107">
        <f t="shared" si="1"/>
        <v>1.0083</v>
      </c>
      <c r="G57" s="132"/>
      <c r="H57" s="132"/>
    </row>
    <row r="58" spans="1:8" ht="30" customHeight="1">
      <c r="A58" s="55" t="s">
        <v>17</v>
      </c>
      <c r="B58" s="51" t="s">
        <v>18</v>
      </c>
      <c r="C58" s="15">
        <f>CENTRALA!C38+'Razem OW'!C38</f>
        <v>26445</v>
      </c>
      <c r="D58" s="15">
        <f>CENTRALA!D38+'Razem OW'!D38</f>
        <v>26445</v>
      </c>
      <c r="E58" s="15" t="str">
        <f t="shared" si="0"/>
        <v>-</v>
      </c>
      <c r="F58" s="108">
        <f t="shared" si="1"/>
        <v>1</v>
      </c>
      <c r="G58" s="133"/>
      <c r="H58" s="132"/>
    </row>
    <row r="59" spans="1:8" ht="30" customHeight="1">
      <c r="A59" s="55" t="s">
        <v>19</v>
      </c>
      <c r="B59" s="51" t="s">
        <v>20</v>
      </c>
      <c r="C59" s="15">
        <f>CENTRALA!C39+'Razem OW'!C39</f>
        <v>156443</v>
      </c>
      <c r="D59" s="15">
        <f>CENTRALA!D39+'Razem OW'!D39</f>
        <v>156443</v>
      </c>
      <c r="E59" s="15" t="str">
        <f t="shared" si="0"/>
        <v>-</v>
      </c>
      <c r="F59" s="108">
        <f t="shared" si="1"/>
        <v>1</v>
      </c>
      <c r="G59" s="133"/>
      <c r="H59" s="132"/>
    </row>
    <row r="60" spans="1:8" ht="30" customHeight="1">
      <c r="A60" s="55" t="s">
        <v>21</v>
      </c>
      <c r="B60" s="66" t="s">
        <v>32</v>
      </c>
      <c r="C60" s="15">
        <f>C61+C63+C64+C65+C66+C67</f>
        <v>4774</v>
      </c>
      <c r="D60" s="15">
        <f>D61+D63+D64+D65+D66+D67</f>
        <v>4774</v>
      </c>
      <c r="E60" s="15" t="str">
        <f t="shared" si="0"/>
        <v>-</v>
      </c>
      <c r="F60" s="108">
        <f t="shared" si="1"/>
        <v>1</v>
      </c>
      <c r="G60" s="133"/>
      <c r="H60" s="132"/>
    </row>
    <row r="61" spans="1:8" s="17" customFormat="1" ht="30" customHeight="1">
      <c r="A61" s="67" t="s">
        <v>40</v>
      </c>
      <c r="B61" s="68" t="s">
        <v>33</v>
      </c>
      <c r="C61" s="15">
        <f>CENTRALA!C41+'Razem OW'!C41</f>
        <v>576</v>
      </c>
      <c r="D61" s="15">
        <f>CENTRALA!D41+'Razem OW'!D41</f>
        <v>576</v>
      </c>
      <c r="E61" s="15" t="str">
        <f t="shared" si="0"/>
        <v>-</v>
      </c>
      <c r="F61" s="108">
        <f t="shared" si="1"/>
        <v>1</v>
      </c>
      <c r="H61" s="132"/>
    </row>
    <row r="62" spans="1:8" s="17" customFormat="1" ht="30" customHeight="1">
      <c r="A62" s="67" t="s">
        <v>41</v>
      </c>
      <c r="B62" s="69" t="s">
        <v>34</v>
      </c>
      <c r="C62" s="15">
        <f>CENTRALA!C42+'Razem OW'!C42</f>
        <v>550</v>
      </c>
      <c r="D62" s="15">
        <f>CENTRALA!D42+'Razem OW'!D42</f>
        <v>550</v>
      </c>
      <c r="E62" s="15" t="str">
        <f t="shared" si="0"/>
        <v>-</v>
      </c>
      <c r="F62" s="108">
        <f t="shared" si="1"/>
        <v>1</v>
      </c>
      <c r="H62" s="132"/>
    </row>
    <row r="63" spans="1:8" s="17" customFormat="1" ht="30" customHeight="1">
      <c r="A63" s="67" t="s">
        <v>42</v>
      </c>
      <c r="B63" s="68" t="s">
        <v>35</v>
      </c>
      <c r="C63" s="15">
        <f>CENTRALA!C43+'Razem OW'!C43</f>
        <v>295</v>
      </c>
      <c r="D63" s="15">
        <f>CENTRALA!D43+'Razem OW'!D43</f>
        <v>295</v>
      </c>
      <c r="E63" s="15" t="str">
        <f t="shared" si="0"/>
        <v>-</v>
      </c>
      <c r="F63" s="108">
        <f t="shared" si="1"/>
        <v>1</v>
      </c>
      <c r="H63" s="132"/>
    </row>
    <row r="64" spans="1:8" s="17" customFormat="1" ht="30" customHeight="1">
      <c r="A64" s="67" t="s">
        <v>43</v>
      </c>
      <c r="B64" s="68" t="s">
        <v>36</v>
      </c>
      <c r="C64" s="15">
        <f>CENTRALA!C44+'Razem OW'!C44</f>
        <v>47</v>
      </c>
      <c r="D64" s="15">
        <f>CENTRALA!D44+'Razem OW'!D44</f>
        <v>47</v>
      </c>
      <c r="E64" s="15" t="str">
        <f t="shared" si="0"/>
        <v>-</v>
      </c>
      <c r="F64" s="108">
        <f t="shared" si="1"/>
        <v>1</v>
      </c>
      <c r="H64" s="132"/>
    </row>
    <row r="65" spans="1:8" s="17" customFormat="1" ht="30" customHeight="1">
      <c r="A65" s="67" t="s">
        <v>44</v>
      </c>
      <c r="B65" s="68" t="s">
        <v>37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108" t="str">
        <f t="shared" si="1"/>
        <v>-</v>
      </c>
      <c r="H65" s="132"/>
    </row>
    <row r="66" spans="1:8" s="17" customFormat="1" ht="30" customHeight="1">
      <c r="A66" s="67" t="s">
        <v>45</v>
      </c>
      <c r="B66" s="68" t="s">
        <v>38</v>
      </c>
      <c r="C66" s="15">
        <f>CENTRALA!C46+'Razem OW'!C46</f>
        <v>3607</v>
      </c>
      <c r="D66" s="15">
        <f>CENTRALA!D46+'Razem OW'!D46</f>
        <v>3607</v>
      </c>
      <c r="E66" s="15" t="str">
        <f t="shared" si="0"/>
        <v>-</v>
      </c>
      <c r="F66" s="108">
        <f t="shared" si="1"/>
        <v>1</v>
      </c>
      <c r="G66" s="134"/>
      <c r="H66" s="132"/>
    </row>
    <row r="67" spans="1:8" s="18" customFormat="1" ht="30" customHeight="1">
      <c r="A67" s="67" t="s">
        <v>46</v>
      </c>
      <c r="B67" s="68" t="s">
        <v>39</v>
      </c>
      <c r="C67" s="15">
        <f>CENTRALA!C47+'Razem OW'!C47</f>
        <v>249</v>
      </c>
      <c r="D67" s="15">
        <f>CENTRALA!D47+'Razem OW'!D47</f>
        <v>249</v>
      </c>
      <c r="E67" s="15" t="str">
        <f t="shared" si="0"/>
        <v>-</v>
      </c>
      <c r="F67" s="108">
        <f t="shared" si="1"/>
        <v>1</v>
      </c>
      <c r="H67" s="132"/>
    </row>
    <row r="68" spans="1:10" ht="30" customHeight="1">
      <c r="A68" s="32" t="s">
        <v>22</v>
      </c>
      <c r="B68" s="51" t="s">
        <v>186</v>
      </c>
      <c r="C68" s="15">
        <f>CENTRALA!C48+'Razem OW'!C48</f>
        <v>305966</v>
      </c>
      <c r="D68" s="15">
        <f>CENTRALA!D48+'Razem OW'!D48</f>
        <v>310713</v>
      </c>
      <c r="E68" s="15">
        <f t="shared" si="0"/>
        <v>4747</v>
      </c>
      <c r="F68" s="108">
        <f t="shared" si="1"/>
        <v>1.0155</v>
      </c>
      <c r="G68" s="133"/>
      <c r="H68" s="132"/>
      <c r="J68" s="133"/>
    </row>
    <row r="69" spans="1:8" ht="30" customHeight="1">
      <c r="A69" s="67" t="s">
        <v>187</v>
      </c>
      <c r="B69" s="68" t="s">
        <v>188</v>
      </c>
      <c r="C69" s="15">
        <f>CENTRALA!C49+'Razem OW'!C49</f>
        <v>1401</v>
      </c>
      <c r="D69" s="15">
        <f>CENTRALA!D49+'Razem OW'!D49</f>
        <v>1401</v>
      </c>
      <c r="E69" s="15" t="str">
        <f t="shared" si="0"/>
        <v>-</v>
      </c>
      <c r="F69" s="108">
        <f t="shared" si="1"/>
        <v>1</v>
      </c>
      <c r="G69" s="133"/>
      <c r="H69" s="132"/>
    </row>
    <row r="70" spans="1:8" ht="30" customHeight="1">
      <c r="A70" s="55" t="s">
        <v>23</v>
      </c>
      <c r="B70" s="60" t="s">
        <v>55</v>
      </c>
      <c r="C70" s="15">
        <f>SUM(C71:C74)</f>
        <v>68819</v>
      </c>
      <c r="D70" s="15">
        <f>SUM(D71:D74)</f>
        <v>69741</v>
      </c>
      <c r="E70" s="15">
        <f t="shared" si="0"/>
        <v>922</v>
      </c>
      <c r="F70" s="108">
        <f t="shared" si="1"/>
        <v>1.0134</v>
      </c>
      <c r="G70" s="133"/>
      <c r="H70" s="132"/>
    </row>
    <row r="71" spans="1:8" s="17" customFormat="1" ht="30" customHeight="1">
      <c r="A71" s="67" t="s">
        <v>51</v>
      </c>
      <c r="B71" s="68" t="s">
        <v>47</v>
      </c>
      <c r="C71" s="15">
        <f>CENTRALA!C51+'Razem OW'!C51</f>
        <v>52474</v>
      </c>
      <c r="D71" s="15">
        <f>CENTRALA!D51+'Razem OW'!D51</f>
        <v>53283</v>
      </c>
      <c r="E71" s="15">
        <f t="shared" si="0"/>
        <v>809</v>
      </c>
      <c r="F71" s="108">
        <f t="shared" si="1"/>
        <v>1.0154</v>
      </c>
      <c r="G71" s="134"/>
      <c r="H71" s="132"/>
    </row>
    <row r="72" spans="1:8" s="17" customFormat="1" ht="30" customHeight="1">
      <c r="A72" s="67" t="s">
        <v>52</v>
      </c>
      <c r="B72" s="68" t="s">
        <v>48</v>
      </c>
      <c r="C72" s="15">
        <f>CENTRALA!C52+'Razem OW'!C52</f>
        <v>7400</v>
      </c>
      <c r="D72" s="15">
        <f>CENTRALA!D52+'Razem OW'!D52</f>
        <v>7513</v>
      </c>
      <c r="E72" s="15">
        <f t="shared" si="0"/>
        <v>113</v>
      </c>
      <c r="F72" s="108">
        <f t="shared" si="1"/>
        <v>1.0153</v>
      </c>
      <c r="G72" s="134"/>
      <c r="H72" s="132"/>
    </row>
    <row r="73" spans="1:8" s="17" customFormat="1" ht="30" customHeight="1">
      <c r="A73" s="67" t="s">
        <v>53</v>
      </c>
      <c r="B73" s="68" t="s">
        <v>49</v>
      </c>
      <c r="C73" s="15">
        <f>CENTRALA!C53+'Razem OW'!C53</f>
        <v>0</v>
      </c>
      <c r="D73" s="15">
        <f>CENTRALA!D53+'Razem OW'!D53</f>
        <v>0</v>
      </c>
      <c r="E73" s="15" t="str">
        <f t="shared" si="0"/>
        <v>-</v>
      </c>
      <c r="F73" s="108" t="str">
        <f t="shared" si="1"/>
        <v>-</v>
      </c>
      <c r="H73" s="132"/>
    </row>
    <row r="74" spans="1:8" s="17" customFormat="1" ht="30" customHeight="1">
      <c r="A74" s="67" t="s">
        <v>54</v>
      </c>
      <c r="B74" s="68" t="s">
        <v>50</v>
      </c>
      <c r="C74" s="15">
        <f>CENTRALA!C54+'Razem OW'!C54</f>
        <v>8945</v>
      </c>
      <c r="D74" s="15">
        <f>CENTRALA!D54+'Razem OW'!D54</f>
        <v>8945</v>
      </c>
      <c r="E74" s="15" t="str">
        <f t="shared" si="0"/>
        <v>-</v>
      </c>
      <c r="F74" s="108">
        <f t="shared" si="1"/>
        <v>1</v>
      </c>
      <c r="G74" s="134"/>
      <c r="H74" s="132"/>
    </row>
    <row r="75" spans="1:8" ht="30" customHeight="1">
      <c r="A75" s="55" t="s">
        <v>24</v>
      </c>
      <c r="B75" s="56" t="s">
        <v>25</v>
      </c>
      <c r="C75" s="15">
        <f>CENTRALA!C55+'Razem OW'!C55</f>
        <v>50</v>
      </c>
      <c r="D75" s="15">
        <f>CENTRALA!D55+'Razem OW'!D55</f>
        <v>50</v>
      </c>
      <c r="E75" s="15" t="str">
        <f t="shared" si="0"/>
        <v>-</v>
      </c>
      <c r="F75" s="108">
        <f t="shared" si="1"/>
        <v>1</v>
      </c>
      <c r="H75" s="132"/>
    </row>
    <row r="76" spans="1:8" ht="32.25" customHeight="1">
      <c r="A76" s="55" t="s">
        <v>26</v>
      </c>
      <c r="B76" s="56" t="s">
        <v>189</v>
      </c>
      <c r="C76" s="80">
        <f>CENTRALA!C56+'Razem OW'!C56</f>
        <v>113549</v>
      </c>
      <c r="D76" s="80">
        <f>CENTRALA!D56+'Razem OW'!D56</f>
        <v>113549</v>
      </c>
      <c r="E76" s="15" t="str">
        <f t="shared" si="0"/>
        <v>-</v>
      </c>
      <c r="F76" s="108">
        <f t="shared" si="1"/>
        <v>1</v>
      </c>
      <c r="G76" s="133"/>
      <c r="H76" s="132"/>
    </row>
    <row r="77" spans="1:8" ht="30" customHeight="1">
      <c r="A77" s="55" t="s">
        <v>27</v>
      </c>
      <c r="B77" s="56" t="s">
        <v>28</v>
      </c>
      <c r="C77" s="15">
        <f>CENTRALA!C57+'Razem OW'!C57</f>
        <v>7418</v>
      </c>
      <c r="D77" s="15">
        <f>CENTRALA!D57+'Razem OW'!D57</f>
        <v>7418</v>
      </c>
      <c r="E77" s="15" t="str">
        <f t="shared" si="0"/>
        <v>-</v>
      </c>
      <c r="F77" s="108">
        <f t="shared" si="1"/>
        <v>1</v>
      </c>
      <c r="G77" s="133"/>
      <c r="H77" s="132"/>
    </row>
    <row r="78" spans="1:8" s="14" customFormat="1" ht="33" customHeight="1">
      <c r="A78" s="70" t="s">
        <v>154</v>
      </c>
      <c r="B78" s="71" t="s">
        <v>193</v>
      </c>
      <c r="C78" s="13">
        <v>92712</v>
      </c>
      <c r="D78" s="13">
        <f>C78</f>
        <v>92712</v>
      </c>
      <c r="E78" s="13" t="str">
        <f t="shared" si="0"/>
        <v>-</v>
      </c>
      <c r="F78" s="107">
        <f t="shared" si="1"/>
        <v>1</v>
      </c>
      <c r="G78" s="132"/>
      <c r="H78" s="132"/>
    </row>
    <row r="79" spans="1:8" s="14" customFormat="1" ht="33" customHeight="1">
      <c r="A79" s="70" t="s">
        <v>156</v>
      </c>
      <c r="B79" s="71" t="s">
        <v>155</v>
      </c>
      <c r="C79" s="13">
        <f>C80+C81+C82+C83</f>
        <v>350081</v>
      </c>
      <c r="D79" s="13">
        <f>D80+D81+D82+D83</f>
        <v>344412</v>
      </c>
      <c r="E79" s="13">
        <f aca="true" t="shared" si="2" ref="E79:E96">IF(C79=D79,"-",D79-C79)</f>
        <v>-5669</v>
      </c>
      <c r="F79" s="107">
        <f aca="true" t="shared" si="3" ref="F79:F96">IF(C79=0,"-",D79/C79)</f>
        <v>0.9838</v>
      </c>
      <c r="G79" s="132"/>
      <c r="H79" s="132"/>
    </row>
    <row r="80" spans="1:8" ht="47.25" customHeight="1">
      <c r="A80" s="55" t="s">
        <v>104</v>
      </c>
      <c r="B80" s="56" t="s">
        <v>126</v>
      </c>
      <c r="C80" s="15">
        <f>CENTRALA!C59+'Razem OW'!C59</f>
        <v>1483</v>
      </c>
      <c r="D80" s="15">
        <f>CENTRALA!D59+'Razem OW'!D59</f>
        <v>1483</v>
      </c>
      <c r="E80" s="15" t="str">
        <f t="shared" si="2"/>
        <v>-</v>
      </c>
      <c r="F80" s="108">
        <f t="shared" si="3"/>
        <v>1</v>
      </c>
      <c r="G80" s="133"/>
      <c r="H80" s="132"/>
    </row>
    <row r="81" spans="1:8" ht="33.75" customHeight="1">
      <c r="A81" s="55" t="s">
        <v>30</v>
      </c>
      <c r="B81" s="56" t="s">
        <v>57</v>
      </c>
      <c r="C81" s="15">
        <f>CENTRALA!C60+'Razem OW'!C60</f>
        <v>319554</v>
      </c>
      <c r="D81" s="15">
        <f>CENTRALA!D60+'Razem OW'!D60</f>
        <v>319554</v>
      </c>
      <c r="E81" s="15" t="str">
        <f t="shared" si="2"/>
        <v>-</v>
      </c>
      <c r="F81" s="108">
        <f t="shared" si="3"/>
        <v>1</v>
      </c>
      <c r="G81" s="133"/>
      <c r="H81" s="132"/>
    </row>
    <row r="82" spans="1:8" ht="30" customHeight="1">
      <c r="A82" s="55" t="s">
        <v>31</v>
      </c>
      <c r="B82" s="56" t="s">
        <v>106</v>
      </c>
      <c r="C82" s="15">
        <f>CENTRALA!C61+'Razem OW'!C61</f>
        <v>7514</v>
      </c>
      <c r="D82" s="15">
        <f>CENTRALA!D61+'Razem OW'!D61</f>
        <v>1845</v>
      </c>
      <c r="E82" s="15">
        <f t="shared" si="2"/>
        <v>-5669</v>
      </c>
      <c r="F82" s="108">
        <f t="shared" si="3"/>
        <v>0.2455</v>
      </c>
      <c r="G82" s="133"/>
      <c r="H82" s="132"/>
    </row>
    <row r="83" spans="1:8" ht="30" customHeight="1">
      <c r="A83" s="55" t="s">
        <v>105</v>
      </c>
      <c r="B83" s="60" t="s">
        <v>107</v>
      </c>
      <c r="C83" s="15">
        <f>CENTRALA!C62+'Razem OW'!C62</f>
        <v>21530</v>
      </c>
      <c r="D83" s="15">
        <f>CENTRALA!D62+'Razem OW'!D62</f>
        <v>21530</v>
      </c>
      <c r="E83" s="15" t="str">
        <f t="shared" si="2"/>
        <v>-</v>
      </c>
      <c r="F83" s="108">
        <f t="shared" si="3"/>
        <v>1</v>
      </c>
      <c r="G83" s="133"/>
      <c r="H83" s="132"/>
    </row>
    <row r="84" spans="1:8" s="14" customFormat="1" ht="33" customHeight="1">
      <c r="A84" s="70" t="s">
        <v>157</v>
      </c>
      <c r="B84" s="71" t="s">
        <v>129</v>
      </c>
      <c r="C84" s="13">
        <f>C85+C86</f>
        <v>90114</v>
      </c>
      <c r="D84" s="13">
        <f>D85+D86</f>
        <v>90114</v>
      </c>
      <c r="E84" s="13" t="str">
        <f t="shared" si="2"/>
        <v>-</v>
      </c>
      <c r="F84" s="107">
        <f t="shared" si="3"/>
        <v>1</v>
      </c>
      <c r="G84" s="132"/>
      <c r="H84" s="132"/>
    </row>
    <row r="85" spans="1:8" ht="30" customHeight="1">
      <c r="A85" s="55" t="s">
        <v>108</v>
      </c>
      <c r="B85" s="56" t="s">
        <v>109</v>
      </c>
      <c r="C85" s="15">
        <v>90114</v>
      </c>
      <c r="D85" s="15">
        <f aca="true" t="shared" si="4" ref="D85:D93">C85</f>
        <v>90114</v>
      </c>
      <c r="E85" s="15" t="str">
        <f t="shared" si="2"/>
        <v>-</v>
      </c>
      <c r="F85" s="108">
        <f t="shared" si="3"/>
        <v>1</v>
      </c>
      <c r="G85" s="133"/>
      <c r="H85" s="132"/>
    </row>
    <row r="86" spans="1:8" ht="30" customHeight="1">
      <c r="A86" s="55" t="s">
        <v>110</v>
      </c>
      <c r="B86" s="60" t="s">
        <v>111</v>
      </c>
      <c r="C86" s="15">
        <f>'[6]Pp-Pk_2011-2014 z prognozą 2011'!E82</f>
        <v>0</v>
      </c>
      <c r="D86" s="15">
        <f t="shared" si="4"/>
        <v>0</v>
      </c>
      <c r="E86" s="15" t="str">
        <f t="shared" si="2"/>
        <v>-</v>
      </c>
      <c r="F86" s="108" t="str">
        <f t="shared" si="3"/>
        <v>-</v>
      </c>
      <c r="H86" s="132"/>
    </row>
    <row r="87" spans="1:8" s="14" customFormat="1" ht="39.75" customHeight="1">
      <c r="A87" s="70" t="s">
        <v>158</v>
      </c>
      <c r="B87" s="71" t="s">
        <v>133</v>
      </c>
      <c r="C87" s="13">
        <f>CENTRALA!C63+'Razem OW'!C63</f>
        <v>115891</v>
      </c>
      <c r="D87" s="13">
        <f>CENTRALA!D63+'Razem OW'!D63</f>
        <v>115891</v>
      </c>
      <c r="E87" s="13" t="str">
        <f t="shared" si="2"/>
        <v>-</v>
      </c>
      <c r="F87" s="107">
        <f t="shared" si="3"/>
        <v>1</v>
      </c>
      <c r="G87" s="132"/>
      <c r="H87" s="132"/>
    </row>
    <row r="88" spans="1:8" s="14" customFormat="1" ht="64.5" customHeight="1">
      <c r="A88" s="70" t="s">
        <v>159</v>
      </c>
      <c r="B88" s="71" t="s">
        <v>120</v>
      </c>
      <c r="C88" s="13">
        <f>C56-C57+C78-C79+C84-C87</f>
        <v>-256134</v>
      </c>
      <c r="D88" s="13">
        <f>D56-D57+D78-D79+D84-D87</f>
        <v>-256134</v>
      </c>
      <c r="E88" s="13" t="str">
        <f t="shared" si="2"/>
        <v>-</v>
      </c>
      <c r="F88" s="107">
        <f t="shared" si="3"/>
        <v>1</v>
      </c>
      <c r="G88" s="132"/>
      <c r="H88" s="132"/>
    </row>
    <row r="89" spans="1:8" s="14" customFormat="1" ht="33" customHeight="1">
      <c r="A89" s="70" t="s">
        <v>160</v>
      </c>
      <c r="B89" s="71" t="s">
        <v>127</v>
      </c>
      <c r="C89" s="13">
        <f>C90-C91</f>
        <v>0</v>
      </c>
      <c r="D89" s="13">
        <f>D90-D91</f>
        <v>0</v>
      </c>
      <c r="E89" s="13" t="str">
        <f t="shared" si="2"/>
        <v>-</v>
      </c>
      <c r="F89" s="107" t="str">
        <f t="shared" si="3"/>
        <v>-</v>
      </c>
      <c r="H89" s="132"/>
    </row>
    <row r="90" spans="1:8" ht="30" customHeight="1">
      <c r="A90" s="55" t="s">
        <v>113</v>
      </c>
      <c r="B90" s="56" t="s">
        <v>114</v>
      </c>
      <c r="C90" s="15">
        <v>0</v>
      </c>
      <c r="D90" s="15">
        <f t="shared" si="4"/>
        <v>0</v>
      </c>
      <c r="E90" s="15" t="str">
        <f t="shared" si="2"/>
        <v>-</v>
      </c>
      <c r="F90" s="108" t="str">
        <f t="shared" si="3"/>
        <v>-</v>
      </c>
      <c r="H90" s="132"/>
    </row>
    <row r="91" spans="1:8" ht="30" customHeight="1">
      <c r="A91" s="55" t="s">
        <v>115</v>
      </c>
      <c r="B91" s="56" t="s">
        <v>116</v>
      </c>
      <c r="C91" s="15">
        <v>0</v>
      </c>
      <c r="D91" s="15">
        <f t="shared" si="4"/>
        <v>0</v>
      </c>
      <c r="E91" s="15" t="str">
        <f t="shared" si="2"/>
        <v>-</v>
      </c>
      <c r="F91" s="108" t="str">
        <f t="shared" si="3"/>
        <v>-</v>
      </c>
      <c r="H91" s="132"/>
    </row>
    <row r="92" spans="1:8" s="19" customFormat="1" ht="33" customHeight="1">
      <c r="A92" s="70" t="s">
        <v>161</v>
      </c>
      <c r="B92" s="72" t="s">
        <v>128</v>
      </c>
      <c r="C92" s="74">
        <f>C88+C89</f>
        <v>-256134</v>
      </c>
      <c r="D92" s="74">
        <f>D88+D89</f>
        <v>-256134</v>
      </c>
      <c r="E92" s="74" t="str">
        <f t="shared" si="2"/>
        <v>-</v>
      </c>
      <c r="F92" s="112">
        <f t="shared" si="3"/>
        <v>1</v>
      </c>
      <c r="G92" s="135"/>
      <c r="H92" s="132"/>
    </row>
    <row r="93" spans="1:8" s="19" customFormat="1" ht="69" customHeight="1">
      <c r="A93" s="70" t="s">
        <v>162</v>
      </c>
      <c r="B93" s="72" t="s">
        <v>117</v>
      </c>
      <c r="C93" s="74">
        <v>0</v>
      </c>
      <c r="D93" s="74">
        <f t="shared" si="4"/>
        <v>0</v>
      </c>
      <c r="E93" s="74" t="str">
        <f t="shared" si="2"/>
        <v>-</v>
      </c>
      <c r="F93" s="112" t="str">
        <f t="shared" si="3"/>
        <v>-</v>
      </c>
      <c r="H93" s="132"/>
    </row>
    <row r="94" spans="1:8" s="19" customFormat="1" ht="33" customHeight="1">
      <c r="A94" s="70" t="s">
        <v>163</v>
      </c>
      <c r="B94" s="72" t="s">
        <v>134</v>
      </c>
      <c r="C94" s="74">
        <f>C92-C93</f>
        <v>-256134</v>
      </c>
      <c r="D94" s="74">
        <f>D92-D93</f>
        <v>-256134</v>
      </c>
      <c r="E94" s="74" t="str">
        <f t="shared" si="2"/>
        <v>-</v>
      </c>
      <c r="F94" s="112">
        <f t="shared" si="3"/>
        <v>1</v>
      </c>
      <c r="G94" s="135"/>
      <c r="H94" s="132"/>
    </row>
    <row r="95" spans="1:8" s="19" customFormat="1" ht="33" customHeight="1">
      <c r="A95" s="53" t="s">
        <v>164</v>
      </c>
      <c r="B95" s="73" t="s">
        <v>118</v>
      </c>
      <c r="C95" s="74">
        <f>C7+C13+C20+C21+C22+C23+C78+C84</f>
        <v>66729938</v>
      </c>
      <c r="D95" s="74">
        <f>D7+D13+D20+D21+D22+D23+D78+D84</f>
        <v>66729938</v>
      </c>
      <c r="E95" s="74" t="str">
        <f t="shared" si="2"/>
        <v>-</v>
      </c>
      <c r="F95" s="112">
        <f t="shared" si="3"/>
        <v>1</v>
      </c>
      <c r="G95" s="135"/>
      <c r="H95" s="132"/>
    </row>
    <row r="96" spans="1:8" s="19" customFormat="1" ht="33" customHeight="1">
      <c r="A96" s="70" t="s">
        <v>165</v>
      </c>
      <c r="B96" s="72" t="s">
        <v>119</v>
      </c>
      <c r="C96" s="74">
        <f>C10+C16+C25+C26+C53+C54+C57+C79+C87</f>
        <v>66986072</v>
      </c>
      <c r="D96" s="74">
        <f>D10+D16+D25+D26+D53+D54+D57+D79+D87</f>
        <v>66986072</v>
      </c>
      <c r="E96" s="74" t="str">
        <f t="shared" si="2"/>
        <v>-</v>
      </c>
      <c r="F96" s="112">
        <f t="shared" si="3"/>
        <v>1</v>
      </c>
      <c r="G96" s="135"/>
      <c r="H96" s="132"/>
    </row>
    <row r="97" ht="26.25">
      <c r="C97" s="20"/>
    </row>
    <row r="98" ht="26.25">
      <c r="C98" s="20"/>
    </row>
    <row r="99" spans="2:3" ht="26.25">
      <c r="B99" s="7"/>
      <c r="C99" s="20"/>
    </row>
    <row r="100" ht="26.25">
      <c r="C100" s="20" t="s">
        <v>249</v>
      </c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69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9044385</v>
      </c>
      <c r="D7" s="16">
        <f>D8+D9+D10+D15+D16+D17+D18+D19+D20+D21+D22+D23+D24+D25+D29+D30+D32+D33</f>
        <v>9044385</v>
      </c>
      <c r="E7" s="13" t="str">
        <f>IF(C7=D7,"-",D7-C7)</f>
        <v>-</v>
      </c>
      <c r="F7" s="100">
        <f>IF(C7=0,"-",D7/C7)</f>
        <v>1</v>
      </c>
      <c r="H7" s="87"/>
    </row>
    <row r="8" spans="1:8" ht="33" customHeight="1">
      <c r="A8" s="29" t="s">
        <v>1</v>
      </c>
      <c r="B8" s="78" t="s">
        <v>138</v>
      </c>
      <c r="C8" s="81">
        <v>1067000</v>
      </c>
      <c r="D8" s="25">
        <f>C8</f>
        <v>1067000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87"/>
    </row>
    <row r="9" spans="1:8" ht="33" customHeight="1">
      <c r="A9" s="29" t="s">
        <v>2</v>
      </c>
      <c r="B9" s="78" t="s">
        <v>139</v>
      </c>
      <c r="C9" s="81">
        <v>742170</v>
      </c>
      <c r="D9" s="25">
        <f aca="true" t="shared" si="2" ref="D9:D33">C9</f>
        <v>742170</v>
      </c>
      <c r="E9" s="101" t="str">
        <f t="shared" si="0"/>
        <v>-</v>
      </c>
      <c r="F9" s="102">
        <f t="shared" si="1"/>
        <v>1</v>
      </c>
      <c r="H9" s="87"/>
    </row>
    <row r="10" spans="1:8" ht="33" customHeight="1">
      <c r="A10" s="29" t="s">
        <v>3</v>
      </c>
      <c r="B10" s="78" t="s">
        <v>136</v>
      </c>
      <c r="C10" s="81">
        <v>4538105</v>
      </c>
      <c r="D10" s="25">
        <f t="shared" si="2"/>
        <v>4538105</v>
      </c>
      <c r="E10" s="101" t="str">
        <f t="shared" si="0"/>
        <v>-</v>
      </c>
      <c r="F10" s="102">
        <f t="shared" si="1"/>
        <v>1</v>
      </c>
      <c r="H10" s="87"/>
    </row>
    <row r="11" spans="1:8" ht="31.5" customHeight="1">
      <c r="A11" s="79" t="s">
        <v>58</v>
      </c>
      <c r="B11" s="90" t="s">
        <v>167</v>
      </c>
      <c r="C11" s="81">
        <v>390632</v>
      </c>
      <c r="D11" s="25">
        <f t="shared" si="2"/>
        <v>390632</v>
      </c>
      <c r="E11" s="101" t="str">
        <f t="shared" si="0"/>
        <v>-</v>
      </c>
      <c r="F11" s="102">
        <f t="shared" si="1"/>
        <v>1</v>
      </c>
      <c r="H11" s="87"/>
    </row>
    <row r="12" spans="1:8" ht="31.5" customHeight="1">
      <c r="A12" s="79" t="s">
        <v>168</v>
      </c>
      <c r="B12" s="90" t="s">
        <v>171</v>
      </c>
      <c r="C12" s="81">
        <v>343499</v>
      </c>
      <c r="D12" s="25">
        <f t="shared" si="2"/>
        <v>343499</v>
      </c>
      <c r="E12" s="101" t="str">
        <f t="shared" si="0"/>
        <v>-</v>
      </c>
      <c r="F12" s="102">
        <f t="shared" si="1"/>
        <v>1</v>
      </c>
      <c r="H12" s="87"/>
    </row>
    <row r="13" spans="1:8" ht="31.5" customHeight="1">
      <c r="A13" s="79" t="s">
        <v>169</v>
      </c>
      <c r="B13" s="90" t="s">
        <v>172</v>
      </c>
      <c r="C13" s="81">
        <v>255842</v>
      </c>
      <c r="D13" s="25">
        <f t="shared" si="2"/>
        <v>255842</v>
      </c>
      <c r="E13" s="101" t="str">
        <f t="shared" si="0"/>
        <v>-</v>
      </c>
      <c r="F13" s="102">
        <f t="shared" si="1"/>
        <v>1</v>
      </c>
      <c r="H13" s="87"/>
    </row>
    <row r="14" spans="1:8" ht="31.5" customHeight="1">
      <c r="A14" s="79" t="s">
        <v>170</v>
      </c>
      <c r="B14" s="90" t="s">
        <v>173</v>
      </c>
      <c r="C14" s="81">
        <v>133203</v>
      </c>
      <c r="D14" s="25">
        <f t="shared" si="2"/>
        <v>133203</v>
      </c>
      <c r="E14" s="101" t="str">
        <f t="shared" si="0"/>
        <v>-</v>
      </c>
      <c r="F14" s="102">
        <f t="shared" si="1"/>
        <v>1</v>
      </c>
      <c r="H14" s="87"/>
    </row>
    <row r="15" spans="1:8" ht="33" customHeight="1">
      <c r="A15" s="29" t="s">
        <v>4</v>
      </c>
      <c r="B15" s="78" t="s">
        <v>144</v>
      </c>
      <c r="C15" s="81">
        <v>351281</v>
      </c>
      <c r="D15" s="25">
        <f t="shared" si="2"/>
        <v>351281</v>
      </c>
      <c r="E15" s="101" t="str">
        <f t="shared" si="0"/>
        <v>-</v>
      </c>
      <c r="F15" s="102">
        <f t="shared" si="1"/>
        <v>1</v>
      </c>
      <c r="H15" s="87"/>
    </row>
    <row r="16" spans="1:8" ht="33" customHeight="1">
      <c r="A16" s="29" t="s">
        <v>5</v>
      </c>
      <c r="B16" s="78" t="s">
        <v>140</v>
      </c>
      <c r="C16" s="81">
        <v>400821</v>
      </c>
      <c r="D16" s="25">
        <f t="shared" si="2"/>
        <v>400821</v>
      </c>
      <c r="E16" s="101" t="str">
        <f t="shared" si="0"/>
        <v>-</v>
      </c>
      <c r="F16" s="102">
        <f t="shared" si="1"/>
        <v>1</v>
      </c>
      <c r="H16" s="87"/>
    </row>
    <row r="17" spans="1:8" ht="33" customHeight="1">
      <c r="A17" s="29" t="s">
        <v>6</v>
      </c>
      <c r="B17" s="78" t="s">
        <v>146</v>
      </c>
      <c r="C17" s="81">
        <v>142872</v>
      </c>
      <c r="D17" s="25">
        <f t="shared" si="2"/>
        <v>142872</v>
      </c>
      <c r="E17" s="101" t="str">
        <f t="shared" si="0"/>
        <v>-</v>
      </c>
      <c r="F17" s="102">
        <f t="shared" si="1"/>
        <v>1</v>
      </c>
      <c r="H17" s="87"/>
    </row>
    <row r="18" spans="1:8" ht="33" customHeight="1">
      <c r="A18" s="29" t="s">
        <v>7</v>
      </c>
      <c r="B18" s="78" t="s">
        <v>145</v>
      </c>
      <c r="C18" s="81">
        <v>39137</v>
      </c>
      <c r="D18" s="25">
        <f t="shared" si="2"/>
        <v>39137</v>
      </c>
      <c r="E18" s="101" t="str">
        <f t="shared" si="0"/>
        <v>-</v>
      </c>
      <c r="F18" s="102">
        <f t="shared" si="1"/>
        <v>1</v>
      </c>
      <c r="H18" s="87"/>
    </row>
    <row r="19" spans="1:8" ht="33" customHeight="1">
      <c r="A19" s="29" t="s">
        <v>8</v>
      </c>
      <c r="B19" s="78" t="s">
        <v>141</v>
      </c>
      <c r="C19" s="81">
        <v>200591</v>
      </c>
      <c r="D19" s="25">
        <f t="shared" si="2"/>
        <v>200591</v>
      </c>
      <c r="E19" s="101" t="str">
        <f t="shared" si="0"/>
        <v>-</v>
      </c>
      <c r="F19" s="102">
        <f t="shared" si="1"/>
        <v>1</v>
      </c>
      <c r="H19" s="87"/>
    </row>
    <row r="20" spans="1:8" ht="33" customHeight="1">
      <c r="A20" s="29" t="s">
        <v>9</v>
      </c>
      <c r="B20" s="78" t="s">
        <v>142</v>
      </c>
      <c r="C20" s="81">
        <v>95731</v>
      </c>
      <c r="D20" s="25">
        <f t="shared" si="2"/>
        <v>95731</v>
      </c>
      <c r="E20" s="101" t="str">
        <f t="shared" si="0"/>
        <v>-</v>
      </c>
      <c r="F20" s="102">
        <f t="shared" si="1"/>
        <v>1</v>
      </c>
      <c r="H20" s="87"/>
    </row>
    <row r="21" spans="1:8" ht="33" customHeight="1">
      <c r="A21" s="29" t="s">
        <v>10</v>
      </c>
      <c r="B21" s="78" t="s">
        <v>147</v>
      </c>
      <c r="C21" s="81">
        <v>7683</v>
      </c>
      <c r="D21" s="25">
        <f t="shared" si="2"/>
        <v>7683</v>
      </c>
      <c r="E21" s="101" t="str">
        <f t="shared" si="0"/>
        <v>-</v>
      </c>
      <c r="F21" s="102">
        <f t="shared" si="1"/>
        <v>1</v>
      </c>
      <c r="H21" s="87"/>
    </row>
    <row r="22" spans="1:8" ht="46.5" customHeight="1">
      <c r="A22" s="29" t="s">
        <v>11</v>
      </c>
      <c r="B22" s="78" t="s">
        <v>143</v>
      </c>
      <c r="C22" s="81">
        <v>18195</v>
      </c>
      <c r="D22" s="25">
        <f t="shared" si="2"/>
        <v>18195</v>
      </c>
      <c r="E22" s="101" t="str">
        <f t="shared" si="0"/>
        <v>-</v>
      </c>
      <c r="F22" s="102">
        <f t="shared" si="1"/>
        <v>1</v>
      </c>
      <c r="H22" s="87"/>
    </row>
    <row r="23" spans="1:8" ht="33" customHeight="1">
      <c r="A23" s="29" t="s">
        <v>12</v>
      </c>
      <c r="B23" s="78" t="s">
        <v>197</v>
      </c>
      <c r="C23" s="81">
        <v>248682</v>
      </c>
      <c r="D23" s="25">
        <f t="shared" si="2"/>
        <v>248682</v>
      </c>
      <c r="E23" s="101" t="str">
        <f t="shared" si="0"/>
        <v>-</v>
      </c>
      <c r="F23" s="102">
        <f t="shared" si="1"/>
        <v>1</v>
      </c>
      <c r="H23" s="87"/>
    </row>
    <row r="24" spans="1:8" ht="33" customHeight="1">
      <c r="A24" s="29" t="s">
        <v>13</v>
      </c>
      <c r="B24" s="78" t="s">
        <v>175</v>
      </c>
      <c r="C24" s="81">
        <v>115500</v>
      </c>
      <c r="D24" s="25">
        <f t="shared" si="2"/>
        <v>115500</v>
      </c>
      <c r="E24" s="101" t="str">
        <f t="shared" si="0"/>
        <v>-</v>
      </c>
      <c r="F24" s="102">
        <f t="shared" si="1"/>
        <v>1</v>
      </c>
      <c r="H24" s="87"/>
    </row>
    <row r="25" spans="1:8" ht="33" customHeight="1">
      <c r="A25" s="30" t="s">
        <v>14</v>
      </c>
      <c r="B25" s="78" t="s">
        <v>176</v>
      </c>
      <c r="C25" s="81">
        <f>SUM(C26:C28)</f>
        <v>1060197</v>
      </c>
      <c r="D25" s="81">
        <f>SUM(D26:D28)</f>
        <v>1060197</v>
      </c>
      <c r="E25" s="101" t="str">
        <f t="shared" si="0"/>
        <v>-</v>
      </c>
      <c r="F25" s="102">
        <f t="shared" si="1"/>
        <v>1</v>
      </c>
      <c r="H25" s="87"/>
    </row>
    <row r="26" spans="1:8" ht="31.5">
      <c r="A26" s="28" t="s">
        <v>148</v>
      </c>
      <c r="B26" s="90" t="s">
        <v>178</v>
      </c>
      <c r="C26" s="81">
        <v>1052400</v>
      </c>
      <c r="D26" s="25">
        <f t="shared" si="2"/>
        <v>1052400</v>
      </c>
      <c r="E26" s="101" t="str">
        <f t="shared" si="0"/>
        <v>-</v>
      </c>
      <c r="F26" s="102">
        <f t="shared" si="1"/>
        <v>1</v>
      </c>
      <c r="H26" s="87"/>
    </row>
    <row r="27" spans="1:8" ht="31.5" customHeight="1">
      <c r="A27" s="79" t="s">
        <v>177</v>
      </c>
      <c r="B27" s="90" t="s">
        <v>180</v>
      </c>
      <c r="C27" s="81">
        <v>5868</v>
      </c>
      <c r="D27" s="25">
        <f t="shared" si="2"/>
        <v>5868</v>
      </c>
      <c r="E27" s="101" t="str">
        <f t="shared" si="0"/>
        <v>-</v>
      </c>
      <c r="F27" s="102">
        <f t="shared" si="1"/>
        <v>1</v>
      </c>
      <c r="H27" s="87"/>
    </row>
    <row r="28" spans="1:8" ht="31.5" customHeight="1">
      <c r="A28" s="79" t="s">
        <v>181</v>
      </c>
      <c r="B28" s="90" t="s">
        <v>179</v>
      </c>
      <c r="C28" s="81">
        <v>1929</v>
      </c>
      <c r="D28" s="25">
        <f t="shared" si="2"/>
        <v>1929</v>
      </c>
      <c r="E28" s="101" t="str">
        <f t="shared" si="0"/>
        <v>-</v>
      </c>
      <c r="F28" s="102">
        <f t="shared" si="1"/>
        <v>1</v>
      </c>
      <c r="H28" s="87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87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87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87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87"/>
    </row>
    <row r="33" spans="1:8" ht="33" customHeight="1">
      <c r="A33" s="31" t="s">
        <v>123</v>
      </c>
      <c r="B33" s="40" t="s">
        <v>198</v>
      </c>
      <c r="C33" s="81">
        <v>16420</v>
      </c>
      <c r="D33" s="25">
        <f t="shared" si="2"/>
        <v>16420</v>
      </c>
      <c r="E33" s="101" t="str">
        <f t="shared" si="0"/>
        <v>-</v>
      </c>
      <c r="F33" s="102">
        <f t="shared" si="1"/>
        <v>1</v>
      </c>
      <c r="H33" s="87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87"/>
    </row>
    <row r="35" spans="1:8" s="5" customFormat="1" ht="31.5" customHeight="1">
      <c r="A35" s="32" t="s">
        <v>59</v>
      </c>
      <c r="B35" s="38" t="s">
        <v>62</v>
      </c>
      <c r="C35" s="84">
        <v>228948</v>
      </c>
      <c r="D35" s="96">
        <f>C35</f>
        <v>228948</v>
      </c>
      <c r="E35" s="15" t="str">
        <f t="shared" si="0"/>
        <v>-</v>
      </c>
      <c r="F35" s="103">
        <f t="shared" si="1"/>
        <v>1</v>
      </c>
      <c r="H35" s="87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1536899</v>
      </c>
      <c r="D36" s="84">
        <f>D12+D14+D25+D31</f>
        <v>1536899</v>
      </c>
      <c r="E36" s="15" t="str">
        <f t="shared" si="0"/>
        <v>-</v>
      </c>
      <c r="F36" s="103">
        <f t="shared" si="1"/>
        <v>1</v>
      </c>
      <c r="H36" s="87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68091</v>
      </c>
      <c r="D37" s="24">
        <f>D38+D39+D40+D48+D50+D56+D57+D55</f>
        <v>69045</v>
      </c>
      <c r="E37" s="13">
        <f t="shared" si="0"/>
        <v>954</v>
      </c>
      <c r="F37" s="104">
        <f t="shared" si="1"/>
        <v>1.014</v>
      </c>
      <c r="H37" s="87"/>
    </row>
    <row r="38" spans="1:8" ht="28.5" customHeight="1">
      <c r="A38" s="31" t="s">
        <v>17</v>
      </c>
      <c r="B38" s="40" t="s">
        <v>18</v>
      </c>
      <c r="C38" s="81">
        <v>2708</v>
      </c>
      <c r="D38" s="85">
        <f>C38</f>
        <v>2708</v>
      </c>
      <c r="E38" s="101" t="str">
        <f t="shared" si="0"/>
        <v>-</v>
      </c>
      <c r="F38" s="102">
        <f t="shared" si="1"/>
        <v>1</v>
      </c>
      <c r="H38" s="87"/>
    </row>
    <row r="39" spans="1:8" ht="28.5" customHeight="1">
      <c r="A39" s="31" t="s">
        <v>19</v>
      </c>
      <c r="B39" s="40" t="s">
        <v>20</v>
      </c>
      <c r="C39" s="81">
        <v>11525</v>
      </c>
      <c r="D39" s="85">
        <f>C39</f>
        <v>11525</v>
      </c>
      <c r="E39" s="101" t="str">
        <f t="shared" si="0"/>
        <v>-</v>
      </c>
      <c r="F39" s="102">
        <f t="shared" si="1"/>
        <v>1</v>
      </c>
      <c r="H39" s="87"/>
    </row>
    <row r="40" spans="1:8" ht="28.5" customHeight="1">
      <c r="A40" s="31" t="s">
        <v>21</v>
      </c>
      <c r="B40" s="41" t="s">
        <v>32</v>
      </c>
      <c r="C40" s="85">
        <f>C41+C43+C44+C45+C46+C47</f>
        <v>446</v>
      </c>
      <c r="D40" s="85">
        <f>D41+D43+D44+D45+D46+D47</f>
        <v>446</v>
      </c>
      <c r="E40" s="101" t="str">
        <f t="shared" si="0"/>
        <v>-</v>
      </c>
      <c r="F40" s="102">
        <f t="shared" si="1"/>
        <v>1</v>
      </c>
      <c r="H40" s="87"/>
    </row>
    <row r="41" spans="1:8" ht="28.5" customHeight="1">
      <c r="A41" s="42" t="s">
        <v>40</v>
      </c>
      <c r="B41" s="43" t="s">
        <v>33</v>
      </c>
      <c r="C41" s="81">
        <v>27</v>
      </c>
      <c r="D41" s="85">
        <f>C41</f>
        <v>27</v>
      </c>
      <c r="E41" s="101" t="str">
        <f t="shared" si="0"/>
        <v>-</v>
      </c>
      <c r="F41" s="102">
        <f t="shared" si="1"/>
        <v>1</v>
      </c>
      <c r="H41" s="87"/>
    </row>
    <row r="42" spans="1:8" ht="28.5" customHeight="1">
      <c r="A42" s="42" t="s">
        <v>41</v>
      </c>
      <c r="B42" s="44" t="s">
        <v>34</v>
      </c>
      <c r="C42" s="81">
        <v>27</v>
      </c>
      <c r="D42" s="85">
        <f aca="true" t="shared" si="3" ref="D42:D61">C42</f>
        <v>27</v>
      </c>
      <c r="E42" s="101" t="str">
        <f t="shared" si="0"/>
        <v>-</v>
      </c>
      <c r="F42" s="102">
        <f t="shared" si="1"/>
        <v>1</v>
      </c>
      <c r="H42" s="87"/>
    </row>
    <row r="43" spans="1:8" ht="28.5" customHeight="1">
      <c r="A43" s="42" t="s">
        <v>42</v>
      </c>
      <c r="B43" s="43" t="s">
        <v>35</v>
      </c>
      <c r="C43" s="81">
        <v>39</v>
      </c>
      <c r="D43" s="85">
        <f t="shared" si="3"/>
        <v>39</v>
      </c>
      <c r="E43" s="101" t="str">
        <f t="shared" si="0"/>
        <v>-</v>
      </c>
      <c r="F43" s="102">
        <f t="shared" si="1"/>
        <v>1</v>
      </c>
      <c r="H43" s="87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87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87"/>
    </row>
    <row r="46" spans="1:8" ht="28.5" customHeight="1">
      <c r="A46" s="42" t="s">
        <v>45</v>
      </c>
      <c r="B46" s="43" t="s">
        <v>38</v>
      </c>
      <c r="C46" s="81">
        <v>353</v>
      </c>
      <c r="D46" s="85">
        <f t="shared" si="3"/>
        <v>353</v>
      </c>
      <c r="E46" s="101" t="str">
        <f t="shared" si="0"/>
        <v>-</v>
      </c>
      <c r="F46" s="102">
        <f t="shared" si="1"/>
        <v>1</v>
      </c>
      <c r="H46" s="87"/>
    </row>
    <row r="47" spans="1:8" ht="28.5" customHeight="1">
      <c r="A47" s="42" t="s">
        <v>46</v>
      </c>
      <c r="B47" s="43" t="s">
        <v>39</v>
      </c>
      <c r="C47" s="81">
        <v>27</v>
      </c>
      <c r="D47" s="85">
        <f>C47</f>
        <v>27</v>
      </c>
      <c r="E47" s="101" t="str">
        <f t="shared" si="0"/>
        <v>-</v>
      </c>
      <c r="F47" s="102">
        <f t="shared" si="1"/>
        <v>1</v>
      </c>
      <c r="H47" s="87"/>
    </row>
    <row r="48" spans="1:8" ht="28.5" customHeight="1">
      <c r="A48" s="31" t="s">
        <v>22</v>
      </c>
      <c r="B48" s="40" t="s">
        <v>186</v>
      </c>
      <c r="C48" s="81">
        <v>39512</v>
      </c>
      <c r="D48" s="85">
        <f>C48+797</f>
        <v>40309</v>
      </c>
      <c r="E48" s="101">
        <f t="shared" si="0"/>
        <v>797</v>
      </c>
      <c r="F48" s="102">
        <f t="shared" si="1"/>
        <v>1.0202</v>
      </c>
      <c r="H48" s="87"/>
    </row>
    <row r="49" spans="1:8" ht="28.5" customHeight="1">
      <c r="A49" s="42" t="s">
        <v>187</v>
      </c>
      <c r="B49" s="43" t="s">
        <v>188</v>
      </c>
      <c r="C49" s="81">
        <v>71</v>
      </c>
      <c r="D49" s="85">
        <f>C49</f>
        <v>71</v>
      </c>
      <c r="E49" s="101" t="str">
        <f t="shared" si="0"/>
        <v>-</v>
      </c>
      <c r="F49" s="102">
        <f t="shared" si="1"/>
        <v>1</v>
      </c>
      <c r="H49" s="87"/>
    </row>
    <row r="50" spans="1:8" ht="28.5" customHeight="1">
      <c r="A50" s="31" t="s">
        <v>23</v>
      </c>
      <c r="B50" s="41" t="s">
        <v>55</v>
      </c>
      <c r="C50" s="85">
        <f>C51+C52+C53+C54</f>
        <v>8739</v>
      </c>
      <c r="D50" s="85">
        <f>D51+D52+D53+D54</f>
        <v>8896</v>
      </c>
      <c r="E50" s="101">
        <f t="shared" si="0"/>
        <v>157</v>
      </c>
      <c r="F50" s="102">
        <f t="shared" si="1"/>
        <v>1.018</v>
      </c>
      <c r="H50" s="87"/>
    </row>
    <row r="51" spans="1:8" ht="28.5" customHeight="1">
      <c r="A51" s="42" t="s">
        <v>51</v>
      </c>
      <c r="B51" s="43" t="s">
        <v>47</v>
      </c>
      <c r="C51" s="85">
        <v>6792</v>
      </c>
      <c r="D51" s="85">
        <f>C51+137</f>
        <v>6929</v>
      </c>
      <c r="E51" s="101">
        <f t="shared" si="0"/>
        <v>137</v>
      </c>
      <c r="F51" s="102">
        <f t="shared" si="1"/>
        <v>1.0202</v>
      </c>
      <c r="H51" s="87"/>
    </row>
    <row r="52" spans="1:8" ht="28.5" customHeight="1">
      <c r="A52" s="42" t="s">
        <v>52</v>
      </c>
      <c r="B52" s="43" t="s">
        <v>48</v>
      </c>
      <c r="C52" s="85">
        <v>968</v>
      </c>
      <c r="D52" s="85">
        <f>C52+20</f>
        <v>988</v>
      </c>
      <c r="E52" s="101">
        <f t="shared" si="0"/>
        <v>20</v>
      </c>
      <c r="F52" s="102">
        <f t="shared" si="1"/>
        <v>1.0207</v>
      </c>
      <c r="H52" s="87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87"/>
    </row>
    <row r="54" spans="1:8" ht="28.5" customHeight="1">
      <c r="A54" s="42" t="s">
        <v>54</v>
      </c>
      <c r="B54" s="43" t="s">
        <v>50</v>
      </c>
      <c r="C54" s="85">
        <v>979</v>
      </c>
      <c r="D54" s="85">
        <f t="shared" si="3"/>
        <v>979</v>
      </c>
      <c r="E54" s="101" t="str">
        <f t="shared" si="0"/>
        <v>-</v>
      </c>
      <c r="F54" s="102">
        <f t="shared" si="1"/>
        <v>1</v>
      </c>
      <c r="H54" s="87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87"/>
    </row>
    <row r="56" spans="1:8" ht="28.5" customHeight="1">
      <c r="A56" s="31" t="s">
        <v>26</v>
      </c>
      <c r="B56" s="40" t="s">
        <v>189</v>
      </c>
      <c r="C56" s="81">
        <v>4066</v>
      </c>
      <c r="D56" s="85">
        <f>C56</f>
        <v>4066</v>
      </c>
      <c r="E56" s="101" t="str">
        <f t="shared" si="0"/>
        <v>-</v>
      </c>
      <c r="F56" s="105">
        <f t="shared" si="1"/>
        <v>1</v>
      </c>
      <c r="H56" s="87"/>
    </row>
    <row r="57" spans="1:8" ht="28.5" customHeight="1">
      <c r="A57" s="31" t="s">
        <v>27</v>
      </c>
      <c r="B57" s="40" t="s">
        <v>28</v>
      </c>
      <c r="C57" s="81">
        <v>1095</v>
      </c>
      <c r="D57" s="85">
        <f>C57</f>
        <v>1095</v>
      </c>
      <c r="E57" s="101" t="str">
        <f t="shared" si="0"/>
        <v>-</v>
      </c>
      <c r="F57" s="102">
        <f t="shared" si="1"/>
        <v>1</v>
      </c>
      <c r="H57" s="87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34920</v>
      </c>
      <c r="D58" s="27">
        <f>D59+D60+D61+D62</f>
        <v>34920</v>
      </c>
      <c r="E58" s="13" t="str">
        <f t="shared" si="0"/>
        <v>-</v>
      </c>
      <c r="F58" s="106">
        <f t="shared" si="1"/>
        <v>1</v>
      </c>
      <c r="H58" s="87"/>
    </row>
    <row r="59" spans="1:8" ht="42" customHeight="1">
      <c r="A59" s="31" t="s">
        <v>104</v>
      </c>
      <c r="B59" s="40" t="s">
        <v>126</v>
      </c>
      <c r="C59" s="81">
        <v>20</v>
      </c>
      <c r="D59" s="85">
        <f t="shared" si="3"/>
        <v>20</v>
      </c>
      <c r="E59" s="77" t="str">
        <f t="shared" si="0"/>
        <v>-</v>
      </c>
      <c r="F59" s="102">
        <f t="shared" si="1"/>
        <v>1</v>
      </c>
      <c r="H59" s="87"/>
    </row>
    <row r="60" spans="1:8" ht="31.5" customHeight="1">
      <c r="A60" s="31" t="s">
        <v>30</v>
      </c>
      <c r="B60" s="40" t="s">
        <v>57</v>
      </c>
      <c r="C60" s="81">
        <v>33000</v>
      </c>
      <c r="D60" s="85">
        <f t="shared" si="3"/>
        <v>33000</v>
      </c>
      <c r="E60" s="77" t="str">
        <f t="shared" si="0"/>
        <v>-</v>
      </c>
      <c r="F60" s="102">
        <f t="shared" si="1"/>
        <v>1</v>
      </c>
      <c r="H60" s="87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87"/>
    </row>
    <row r="62" spans="1:8" ht="31.5" customHeight="1">
      <c r="A62" s="31" t="s">
        <v>105</v>
      </c>
      <c r="B62" s="40" t="s">
        <v>107</v>
      </c>
      <c r="C62" s="81">
        <v>1900</v>
      </c>
      <c r="D62" s="85">
        <f>C62</f>
        <v>1900</v>
      </c>
      <c r="E62" s="77" t="str">
        <f t="shared" si="0"/>
        <v>-</v>
      </c>
      <c r="F62" s="102">
        <f t="shared" si="1"/>
        <v>1</v>
      </c>
      <c r="H62" s="87"/>
    </row>
    <row r="63" spans="1:8" ht="32.25" customHeight="1">
      <c r="A63" s="33" t="s">
        <v>112</v>
      </c>
      <c r="B63" s="45" t="s">
        <v>133</v>
      </c>
      <c r="C63" s="83">
        <v>12260</v>
      </c>
      <c r="D63" s="27">
        <f>C63</f>
        <v>12260</v>
      </c>
      <c r="E63" s="13" t="str">
        <f t="shared" si="0"/>
        <v>-</v>
      </c>
      <c r="F63" s="106">
        <f t="shared" si="1"/>
        <v>1</v>
      </c>
      <c r="H63" s="87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70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1578162</v>
      </c>
      <c r="D7" s="16">
        <f>D8+D9+D10+D15+D16+D17+D18+D19+D20+D21+D22+D23+D24+D25+D29+D30+D32+D33</f>
        <v>1578162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188231</v>
      </c>
      <c r="D8" s="25">
        <f>C8</f>
        <v>188231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127390</v>
      </c>
      <c r="D9" s="25">
        <f aca="true" t="shared" si="2" ref="D9:D33">C9</f>
        <v>127390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758354</v>
      </c>
      <c r="D10" s="25">
        <f t="shared" si="2"/>
        <v>758354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55840</v>
      </c>
      <c r="D11" s="25">
        <f t="shared" si="2"/>
        <v>55840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51176</v>
      </c>
      <c r="D12" s="25">
        <f t="shared" si="2"/>
        <v>51176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28690</v>
      </c>
      <c r="D13" s="25">
        <f t="shared" si="2"/>
        <v>28690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11546</v>
      </c>
      <c r="D14" s="25">
        <f t="shared" si="2"/>
        <v>11546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58314</v>
      </c>
      <c r="D15" s="25">
        <f t="shared" si="2"/>
        <v>58314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54590</v>
      </c>
      <c r="D16" s="25">
        <f t="shared" si="2"/>
        <v>54590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43728</v>
      </c>
      <c r="D17" s="25">
        <f t="shared" si="2"/>
        <v>43728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9923</v>
      </c>
      <c r="D18" s="25">
        <f t="shared" si="2"/>
        <v>9923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47222</v>
      </c>
      <c r="D19" s="25">
        <f t="shared" si="2"/>
        <v>47222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12900</v>
      </c>
      <c r="D20" s="25">
        <f t="shared" si="2"/>
        <v>12900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1750</v>
      </c>
      <c r="D21" s="25">
        <f t="shared" si="2"/>
        <v>1750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4687</v>
      </c>
      <c r="D22" s="25">
        <f t="shared" si="2"/>
        <v>4687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40167</v>
      </c>
      <c r="D23" s="25">
        <f t="shared" si="2"/>
        <v>40167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26290</v>
      </c>
      <c r="D24" s="25">
        <f t="shared" si="2"/>
        <v>26290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195678</v>
      </c>
      <c r="D25" s="81">
        <f>SUM(D26:D28)</f>
        <v>195678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194928</v>
      </c>
      <c r="D26" s="25">
        <f t="shared" si="2"/>
        <v>194928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590</v>
      </c>
      <c r="D27" s="25">
        <f t="shared" si="2"/>
        <v>590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160</v>
      </c>
      <c r="D28" s="25">
        <f t="shared" si="2"/>
        <v>160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8938</v>
      </c>
      <c r="D33" s="25">
        <f t="shared" si="2"/>
        <v>8938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52013</v>
      </c>
      <c r="D35" s="96">
        <f>C35</f>
        <v>52013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258400</v>
      </c>
      <c r="D36" s="84">
        <f>D12+D14+D25+D31</f>
        <v>258400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16520</v>
      </c>
      <c r="D37" s="24">
        <f>D38+D39+D40+D48+D50+D56+D57+D55</f>
        <v>16627</v>
      </c>
      <c r="E37" s="13">
        <f t="shared" si="0"/>
        <v>107</v>
      </c>
      <c r="F37" s="104">
        <f t="shared" si="1"/>
        <v>1.0065</v>
      </c>
      <c r="H37" s="99"/>
    </row>
    <row r="38" spans="1:8" ht="28.5" customHeight="1">
      <c r="A38" s="31" t="s">
        <v>17</v>
      </c>
      <c r="B38" s="40" t="s">
        <v>18</v>
      </c>
      <c r="C38" s="81">
        <v>933</v>
      </c>
      <c r="D38" s="85">
        <f>C38</f>
        <v>933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2089</v>
      </c>
      <c r="D39" s="85">
        <f>C39</f>
        <v>2089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137</v>
      </c>
      <c r="D40" s="85">
        <f>D41+D43+D44+D45+D46+D47</f>
        <v>137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0</v>
      </c>
      <c r="D41" s="85">
        <f>C41</f>
        <v>0</v>
      </c>
      <c r="E41" s="101" t="str">
        <f t="shared" si="0"/>
        <v>-</v>
      </c>
      <c r="F41" s="102" t="str">
        <f t="shared" si="1"/>
        <v>-</v>
      </c>
      <c r="H41" s="99"/>
    </row>
    <row r="42" spans="1:8" ht="28.5" customHeight="1">
      <c r="A42" s="42" t="s">
        <v>41</v>
      </c>
      <c r="B42" s="44" t="s">
        <v>34</v>
      </c>
      <c r="C42" s="81">
        <v>0</v>
      </c>
      <c r="D42" s="85">
        <f aca="true" t="shared" si="3" ref="D42:D61">C42</f>
        <v>0</v>
      </c>
      <c r="E42" s="101" t="str">
        <f t="shared" si="0"/>
        <v>-</v>
      </c>
      <c r="F42" s="102" t="str">
        <f t="shared" si="1"/>
        <v>-</v>
      </c>
      <c r="H42" s="99"/>
    </row>
    <row r="43" spans="1:8" ht="28.5" customHeight="1">
      <c r="A43" s="42" t="s">
        <v>42</v>
      </c>
      <c r="B43" s="43" t="s">
        <v>35</v>
      </c>
      <c r="C43" s="81">
        <v>6</v>
      </c>
      <c r="D43" s="85">
        <f t="shared" si="3"/>
        <v>6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127</v>
      </c>
      <c r="D46" s="85">
        <f t="shared" si="3"/>
        <v>127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4</v>
      </c>
      <c r="D47" s="85">
        <f>C47</f>
        <v>4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8290</v>
      </c>
      <c r="D48" s="85">
        <f>C48+90</f>
        <v>8380</v>
      </c>
      <c r="E48" s="101">
        <f t="shared" si="0"/>
        <v>90</v>
      </c>
      <c r="F48" s="102">
        <f t="shared" si="1"/>
        <v>1.0109</v>
      </c>
      <c r="H48" s="99"/>
    </row>
    <row r="49" spans="1:8" ht="28.5" customHeight="1">
      <c r="A49" s="42" t="s">
        <v>187</v>
      </c>
      <c r="B49" s="43" t="s">
        <v>188</v>
      </c>
      <c r="C49" s="81">
        <v>20</v>
      </c>
      <c r="D49" s="85">
        <f>C49</f>
        <v>20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1840</v>
      </c>
      <c r="D50" s="85">
        <f>D51+D52+D53+D54</f>
        <v>1857</v>
      </c>
      <c r="E50" s="101">
        <f t="shared" si="0"/>
        <v>17</v>
      </c>
      <c r="F50" s="102">
        <f t="shared" si="1"/>
        <v>1.0092</v>
      </c>
      <c r="H50" s="99"/>
    </row>
    <row r="51" spans="1:8" ht="28.5" customHeight="1">
      <c r="A51" s="42" t="s">
        <v>51</v>
      </c>
      <c r="B51" s="43" t="s">
        <v>47</v>
      </c>
      <c r="C51" s="85">
        <v>1425</v>
      </c>
      <c r="D51" s="85">
        <f>C51+15</f>
        <v>1440</v>
      </c>
      <c r="E51" s="101">
        <f t="shared" si="0"/>
        <v>15</v>
      </c>
      <c r="F51" s="102">
        <f t="shared" si="1"/>
        <v>1.0105</v>
      </c>
      <c r="H51" s="99"/>
    </row>
    <row r="52" spans="1:8" ht="28.5" customHeight="1">
      <c r="A52" s="42" t="s">
        <v>52</v>
      </c>
      <c r="B52" s="43" t="s">
        <v>48</v>
      </c>
      <c r="C52" s="85">
        <v>203</v>
      </c>
      <c r="D52" s="85">
        <f>C52+2</f>
        <v>205</v>
      </c>
      <c r="E52" s="101">
        <f t="shared" si="0"/>
        <v>2</v>
      </c>
      <c r="F52" s="102">
        <f t="shared" si="1"/>
        <v>1.0099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212</v>
      </c>
      <c r="D54" s="85">
        <f t="shared" si="3"/>
        <v>212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3046</v>
      </c>
      <c r="D56" s="85">
        <f>C56</f>
        <v>3046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185</v>
      </c>
      <c r="D57" s="85">
        <f>C57</f>
        <v>185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6823</v>
      </c>
      <c r="D58" s="27">
        <f>D59+D60+D61+D62</f>
        <v>6823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10</v>
      </c>
      <c r="D59" s="85">
        <f t="shared" si="3"/>
        <v>10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6313</v>
      </c>
      <c r="D60" s="85">
        <f t="shared" si="3"/>
        <v>6313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500</v>
      </c>
      <c r="D62" s="85">
        <f>C62</f>
        <v>500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1550</v>
      </c>
      <c r="D63" s="27">
        <f>C63</f>
        <v>1550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71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3328089</v>
      </c>
      <c r="D7" s="16">
        <f>D8+D9+D10+D15+D16+D17+D18+D19+D20+D21+D22+D23+D24+D25+D29+D30+D32+D33</f>
        <v>3328089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417844</v>
      </c>
      <c r="D8" s="25">
        <f>C8</f>
        <v>417844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264289</v>
      </c>
      <c r="D9" s="25">
        <f aca="true" t="shared" si="2" ref="D9:D33">C9</f>
        <v>264289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1580636</v>
      </c>
      <c r="D10" s="25">
        <f t="shared" si="2"/>
        <v>1580636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138252</v>
      </c>
      <c r="D11" s="25">
        <f t="shared" si="2"/>
        <v>138252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125505</v>
      </c>
      <c r="D12" s="25">
        <f t="shared" si="2"/>
        <v>125505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63393</v>
      </c>
      <c r="D13" s="25">
        <f t="shared" si="2"/>
        <v>63393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24977</v>
      </c>
      <c r="D14" s="25">
        <f t="shared" si="2"/>
        <v>24977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107349</v>
      </c>
      <c r="D15" s="25">
        <f t="shared" si="2"/>
        <v>107349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139384</v>
      </c>
      <c r="D16" s="25">
        <f t="shared" si="2"/>
        <v>139384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87048</v>
      </c>
      <c r="D17" s="25">
        <f t="shared" si="2"/>
        <v>87048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20005</v>
      </c>
      <c r="D18" s="25">
        <f t="shared" si="2"/>
        <v>20005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106149</v>
      </c>
      <c r="D19" s="25">
        <f t="shared" si="2"/>
        <v>106149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31955</v>
      </c>
      <c r="D20" s="25">
        <f t="shared" si="2"/>
        <v>31955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3107</v>
      </c>
      <c r="D21" s="25">
        <f t="shared" si="2"/>
        <v>3107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7424</v>
      </c>
      <c r="D22" s="25">
        <f t="shared" si="2"/>
        <v>7424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83487</v>
      </c>
      <c r="D23" s="25">
        <f t="shared" si="2"/>
        <v>83487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40698</v>
      </c>
      <c r="D24" s="25">
        <f t="shared" si="2"/>
        <v>40698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384000</v>
      </c>
      <c r="D25" s="81">
        <f>SUM(D26:D28)</f>
        <v>384000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371017</v>
      </c>
      <c r="D26" s="25">
        <f t="shared" si="2"/>
        <v>371017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10944</v>
      </c>
      <c r="D27" s="25">
        <f t="shared" si="2"/>
        <v>10944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2039</v>
      </c>
      <c r="D28" s="25">
        <f t="shared" si="2"/>
        <v>2039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54714</v>
      </c>
      <c r="D33" s="25">
        <f t="shared" si="2"/>
        <v>54714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106449</v>
      </c>
      <c r="D35" s="96">
        <f>C35</f>
        <v>106449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534482</v>
      </c>
      <c r="D36" s="84">
        <f>D12+D14+D25+D31</f>
        <v>534482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23307</v>
      </c>
      <c r="D37" s="24">
        <f>D38+D39+D40+D48+D50+D56+D57+D55</f>
        <v>23574</v>
      </c>
      <c r="E37" s="13">
        <f t="shared" si="0"/>
        <v>267</v>
      </c>
      <c r="F37" s="104">
        <f t="shared" si="1"/>
        <v>1.0115</v>
      </c>
      <c r="H37" s="99"/>
    </row>
    <row r="38" spans="1:8" ht="28.5" customHeight="1">
      <c r="A38" s="31" t="s">
        <v>17</v>
      </c>
      <c r="B38" s="40" t="s">
        <v>18</v>
      </c>
      <c r="C38" s="81">
        <v>969</v>
      </c>
      <c r="D38" s="85">
        <f>C38</f>
        <v>969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2495</v>
      </c>
      <c r="D39" s="85">
        <f>C39</f>
        <v>2495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116</v>
      </c>
      <c r="D40" s="85">
        <f>D41+D43+D44+D45+D46+D47</f>
        <v>116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25</v>
      </c>
      <c r="D41" s="85">
        <f>C41</f>
        <v>25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25</v>
      </c>
      <c r="D42" s="85">
        <f aca="true" t="shared" si="3" ref="D42:D61">C42</f>
        <v>25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59</v>
      </c>
      <c r="D46" s="85">
        <f t="shared" si="3"/>
        <v>59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32</v>
      </c>
      <c r="D47" s="85">
        <f>C47</f>
        <v>32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13082</v>
      </c>
      <c r="D48" s="85">
        <f>C48+224</f>
        <v>13306</v>
      </c>
      <c r="E48" s="101">
        <f t="shared" si="0"/>
        <v>224</v>
      </c>
      <c r="F48" s="102">
        <f t="shared" si="1"/>
        <v>1.0171</v>
      </c>
      <c r="H48" s="99"/>
    </row>
    <row r="49" spans="1:8" ht="28.5" customHeight="1">
      <c r="A49" s="42" t="s">
        <v>187</v>
      </c>
      <c r="B49" s="43" t="s">
        <v>188</v>
      </c>
      <c r="C49" s="81">
        <v>10</v>
      </c>
      <c r="D49" s="85">
        <f>C49</f>
        <v>10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2905</v>
      </c>
      <c r="D50" s="85">
        <f>D51+D52+D53+D54</f>
        <v>2948</v>
      </c>
      <c r="E50" s="101">
        <f t="shared" si="0"/>
        <v>43</v>
      </c>
      <c r="F50" s="102">
        <f t="shared" si="1"/>
        <v>1.0148</v>
      </c>
      <c r="H50" s="99"/>
    </row>
    <row r="51" spans="1:8" ht="28.5" customHeight="1">
      <c r="A51" s="42" t="s">
        <v>51</v>
      </c>
      <c r="B51" s="43" t="s">
        <v>47</v>
      </c>
      <c r="C51" s="85">
        <v>2249</v>
      </c>
      <c r="D51" s="85">
        <f>C51+38</f>
        <v>2287</v>
      </c>
      <c r="E51" s="101">
        <f t="shared" si="0"/>
        <v>38</v>
      </c>
      <c r="F51" s="102">
        <f t="shared" si="1"/>
        <v>1.0169</v>
      </c>
      <c r="H51" s="99"/>
    </row>
    <row r="52" spans="1:8" ht="28.5" customHeight="1">
      <c r="A52" s="42" t="s">
        <v>52</v>
      </c>
      <c r="B52" s="43" t="s">
        <v>48</v>
      </c>
      <c r="C52" s="85">
        <v>321</v>
      </c>
      <c r="D52" s="85">
        <f>C52+5</f>
        <v>326</v>
      </c>
      <c r="E52" s="101">
        <f t="shared" si="0"/>
        <v>5</v>
      </c>
      <c r="F52" s="102">
        <f t="shared" si="1"/>
        <v>1.0156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335</v>
      </c>
      <c r="D54" s="85">
        <f t="shared" si="3"/>
        <v>335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3500</v>
      </c>
      <c r="D56" s="85">
        <f>C56</f>
        <v>3500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240</v>
      </c>
      <c r="D57" s="85">
        <f>C57</f>
        <v>240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16266</v>
      </c>
      <c r="D58" s="27">
        <f>D59+D60+D61+D62</f>
        <v>16266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22</v>
      </c>
      <c r="D59" s="85">
        <f t="shared" si="3"/>
        <v>22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15974</v>
      </c>
      <c r="D60" s="85">
        <f t="shared" si="3"/>
        <v>15974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270</v>
      </c>
      <c r="D62" s="85">
        <f>C62</f>
        <v>270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3778</v>
      </c>
      <c r="D63" s="27">
        <f>C63</f>
        <v>3778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72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1918181</v>
      </c>
      <c r="D7" s="16">
        <f>D8+D9+D10+D15+D16+D17+D18+D19+D20+D21+D22+D23+D24+D25+D29+D30+D32+D33</f>
        <v>1918181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233200</v>
      </c>
      <c r="D8" s="25">
        <f aca="true" t="shared" si="0" ref="D8:D33">C8</f>
        <v>233200</v>
      </c>
      <c r="E8" s="101" t="str">
        <f aca="true" t="shared" si="1" ref="E8:E63">IF(C8=D8,"-",D8-C8)</f>
        <v>-</v>
      </c>
      <c r="F8" s="102">
        <f aca="true" t="shared" si="2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183700</v>
      </c>
      <c r="D9" s="25">
        <f t="shared" si="0"/>
        <v>183700</v>
      </c>
      <c r="E9" s="101" t="str">
        <f t="shared" si="1"/>
        <v>-</v>
      </c>
      <c r="F9" s="102">
        <f t="shared" si="2"/>
        <v>1</v>
      </c>
      <c r="H9" s="99"/>
    </row>
    <row r="10" spans="1:8" ht="33" customHeight="1">
      <c r="A10" s="29" t="s">
        <v>3</v>
      </c>
      <c r="B10" s="78" t="s">
        <v>136</v>
      </c>
      <c r="C10" s="81">
        <v>943185</v>
      </c>
      <c r="D10" s="25">
        <f t="shared" si="0"/>
        <v>943185</v>
      </c>
      <c r="E10" s="101" t="str">
        <f t="shared" si="1"/>
        <v>-</v>
      </c>
      <c r="F10" s="102">
        <f t="shared" si="2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69852</v>
      </c>
      <c r="D11" s="25">
        <f t="shared" si="0"/>
        <v>69852</v>
      </c>
      <c r="E11" s="101" t="str">
        <f t="shared" si="1"/>
        <v>-</v>
      </c>
      <c r="F11" s="102">
        <f t="shared" si="2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64374</v>
      </c>
      <c r="D12" s="25">
        <f t="shared" si="0"/>
        <v>64374</v>
      </c>
      <c r="E12" s="101" t="str">
        <f t="shared" si="1"/>
        <v>-</v>
      </c>
      <c r="F12" s="102">
        <f t="shared" si="2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44296</v>
      </c>
      <c r="D13" s="25">
        <f t="shared" si="0"/>
        <v>44296</v>
      </c>
      <c r="E13" s="101" t="str">
        <f t="shared" si="1"/>
        <v>-</v>
      </c>
      <c r="F13" s="102">
        <f t="shared" si="2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21978</v>
      </c>
      <c r="D14" s="25">
        <f t="shared" si="0"/>
        <v>21978</v>
      </c>
      <c r="E14" s="101" t="str">
        <f t="shared" si="1"/>
        <v>-</v>
      </c>
      <c r="F14" s="102">
        <f t="shared" si="2"/>
        <v>1</v>
      </c>
      <c r="H14" s="99"/>
    </row>
    <row r="15" spans="1:8" ht="33" customHeight="1">
      <c r="A15" s="29" t="s">
        <v>4</v>
      </c>
      <c r="B15" s="78" t="s">
        <v>144</v>
      </c>
      <c r="C15" s="81">
        <v>79892</v>
      </c>
      <c r="D15" s="25">
        <f t="shared" si="0"/>
        <v>79892</v>
      </c>
      <c r="E15" s="101" t="str">
        <f t="shared" si="1"/>
        <v>-</v>
      </c>
      <c r="F15" s="102">
        <f t="shared" si="2"/>
        <v>1</v>
      </c>
      <c r="H15" s="99"/>
    </row>
    <row r="16" spans="1:8" ht="33" customHeight="1">
      <c r="A16" s="29" t="s">
        <v>5</v>
      </c>
      <c r="B16" s="78" t="s">
        <v>140</v>
      </c>
      <c r="C16" s="81">
        <v>52830</v>
      </c>
      <c r="D16" s="25">
        <f t="shared" si="0"/>
        <v>52830</v>
      </c>
      <c r="E16" s="101" t="str">
        <f t="shared" si="1"/>
        <v>-</v>
      </c>
      <c r="F16" s="102">
        <f t="shared" si="2"/>
        <v>1</v>
      </c>
      <c r="H16" s="99"/>
    </row>
    <row r="17" spans="1:8" ht="33" customHeight="1">
      <c r="A17" s="29" t="s">
        <v>6</v>
      </c>
      <c r="B17" s="78" t="s">
        <v>146</v>
      </c>
      <c r="C17" s="81">
        <v>25346</v>
      </c>
      <c r="D17" s="25">
        <f t="shared" si="0"/>
        <v>25346</v>
      </c>
      <c r="E17" s="101" t="str">
        <f t="shared" si="1"/>
        <v>-</v>
      </c>
      <c r="F17" s="102">
        <f t="shared" si="2"/>
        <v>1</v>
      </c>
      <c r="H17" s="99"/>
    </row>
    <row r="18" spans="1:8" ht="33" customHeight="1">
      <c r="A18" s="29" t="s">
        <v>7</v>
      </c>
      <c r="B18" s="78" t="s">
        <v>145</v>
      </c>
      <c r="C18" s="81">
        <v>10075</v>
      </c>
      <c r="D18" s="25">
        <f t="shared" si="0"/>
        <v>10075</v>
      </c>
      <c r="E18" s="101" t="str">
        <f t="shared" si="1"/>
        <v>-</v>
      </c>
      <c r="F18" s="102">
        <f t="shared" si="2"/>
        <v>1</v>
      </c>
      <c r="H18" s="99"/>
    </row>
    <row r="19" spans="1:8" ht="33" customHeight="1">
      <c r="A19" s="29" t="s">
        <v>8</v>
      </c>
      <c r="B19" s="78" t="s">
        <v>141</v>
      </c>
      <c r="C19" s="81">
        <v>64884</v>
      </c>
      <c r="D19" s="25">
        <f t="shared" si="0"/>
        <v>64884</v>
      </c>
      <c r="E19" s="101" t="str">
        <f t="shared" si="1"/>
        <v>-</v>
      </c>
      <c r="F19" s="102">
        <f t="shared" si="2"/>
        <v>1</v>
      </c>
      <c r="H19" s="99"/>
    </row>
    <row r="20" spans="1:8" ht="33" customHeight="1">
      <c r="A20" s="29" t="s">
        <v>9</v>
      </c>
      <c r="B20" s="78" t="s">
        <v>142</v>
      </c>
      <c r="C20" s="81">
        <v>18400</v>
      </c>
      <c r="D20" s="25">
        <f t="shared" si="0"/>
        <v>18400</v>
      </c>
      <c r="E20" s="101" t="str">
        <f t="shared" si="1"/>
        <v>-</v>
      </c>
      <c r="F20" s="102">
        <f t="shared" si="2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1400</v>
      </c>
      <c r="D21" s="25">
        <f t="shared" si="0"/>
        <v>1400</v>
      </c>
      <c r="E21" s="101" t="str">
        <f t="shared" si="1"/>
        <v>-</v>
      </c>
      <c r="F21" s="102">
        <f t="shared" si="2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5501</v>
      </c>
      <c r="D22" s="25">
        <f t="shared" si="0"/>
        <v>5501</v>
      </c>
      <c r="E22" s="101" t="str">
        <f t="shared" si="1"/>
        <v>-</v>
      </c>
      <c r="F22" s="102">
        <f t="shared" si="2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40505</v>
      </c>
      <c r="D23" s="25">
        <f t="shared" si="0"/>
        <v>40505</v>
      </c>
      <c r="E23" s="101" t="str">
        <f t="shared" si="1"/>
        <v>-</v>
      </c>
      <c r="F23" s="102">
        <f t="shared" si="2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24500</v>
      </c>
      <c r="D24" s="25">
        <f t="shared" si="0"/>
        <v>24500</v>
      </c>
      <c r="E24" s="101" t="str">
        <f t="shared" si="1"/>
        <v>-</v>
      </c>
      <c r="F24" s="102">
        <f t="shared" si="2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233763</v>
      </c>
      <c r="D25" s="81">
        <f>SUM(D26:D28)</f>
        <v>233763</v>
      </c>
      <c r="E25" s="101" t="str">
        <f t="shared" si="1"/>
        <v>-</v>
      </c>
      <c r="F25" s="102">
        <f t="shared" si="2"/>
        <v>1</v>
      </c>
      <c r="H25" s="99"/>
    </row>
    <row r="26" spans="1:8" ht="31.5">
      <c r="A26" s="28" t="s">
        <v>148</v>
      </c>
      <c r="B26" s="90" t="s">
        <v>178</v>
      </c>
      <c r="C26" s="81">
        <v>230963</v>
      </c>
      <c r="D26" s="25">
        <f t="shared" si="0"/>
        <v>230963</v>
      </c>
      <c r="E26" s="101" t="str">
        <f t="shared" si="1"/>
        <v>-</v>
      </c>
      <c r="F26" s="102">
        <f t="shared" si="2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1200</v>
      </c>
      <c r="D27" s="25">
        <f t="shared" si="0"/>
        <v>1200</v>
      </c>
      <c r="E27" s="101" t="str">
        <f t="shared" si="1"/>
        <v>-</v>
      </c>
      <c r="F27" s="102">
        <f t="shared" si="2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1600</v>
      </c>
      <c r="D28" s="25">
        <f t="shared" si="0"/>
        <v>1600</v>
      </c>
      <c r="E28" s="101" t="str">
        <f t="shared" si="1"/>
        <v>-</v>
      </c>
      <c r="F28" s="102">
        <f t="shared" si="2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0"/>
        <v>0</v>
      </c>
      <c r="E29" s="101" t="str">
        <f t="shared" si="1"/>
        <v>-</v>
      </c>
      <c r="F29" s="102" t="str">
        <f t="shared" si="2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0"/>
        <v>0</v>
      </c>
      <c r="E30" s="101" t="str">
        <f t="shared" si="1"/>
        <v>-</v>
      </c>
      <c r="F30" s="102" t="str">
        <f t="shared" si="2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0"/>
        <v>0</v>
      </c>
      <c r="E31" s="101" t="str">
        <f t="shared" si="1"/>
        <v>-</v>
      </c>
      <c r="F31" s="102" t="str">
        <f t="shared" si="2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0"/>
        <v>0</v>
      </c>
      <c r="E32" s="101" t="str">
        <f t="shared" si="1"/>
        <v>-</v>
      </c>
      <c r="F32" s="102" t="str">
        <f t="shared" si="2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1000</v>
      </c>
      <c r="D33" s="25">
        <f t="shared" si="0"/>
        <v>1000</v>
      </c>
      <c r="E33" s="101" t="str">
        <f t="shared" si="1"/>
        <v>-</v>
      </c>
      <c r="F33" s="102">
        <f t="shared" si="2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1"/>
        <v>-</v>
      </c>
      <c r="F34" s="103" t="str">
        <f t="shared" si="2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69104</v>
      </c>
      <c r="D35" s="96">
        <f>C35</f>
        <v>69104</v>
      </c>
      <c r="E35" s="15" t="str">
        <f t="shared" si="1"/>
        <v>-</v>
      </c>
      <c r="F35" s="103">
        <f t="shared" si="2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320115</v>
      </c>
      <c r="D36" s="84">
        <f>D12+D14+D25+D31</f>
        <v>320115</v>
      </c>
      <c r="E36" s="15" t="str">
        <f t="shared" si="1"/>
        <v>-</v>
      </c>
      <c r="F36" s="103">
        <f t="shared" si="2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14434</v>
      </c>
      <c r="D37" s="24">
        <f>D38+D39+D40+D48+D50+D56+D57+D55</f>
        <v>14635</v>
      </c>
      <c r="E37" s="13">
        <f t="shared" si="1"/>
        <v>201</v>
      </c>
      <c r="F37" s="104">
        <f t="shared" si="2"/>
        <v>1.0139</v>
      </c>
      <c r="H37" s="99"/>
    </row>
    <row r="38" spans="1:8" ht="28.5" customHeight="1">
      <c r="A38" s="31" t="s">
        <v>17</v>
      </c>
      <c r="B38" s="40" t="s">
        <v>18</v>
      </c>
      <c r="C38" s="81">
        <v>645</v>
      </c>
      <c r="D38" s="85">
        <f>C38</f>
        <v>645</v>
      </c>
      <c r="E38" s="101" t="str">
        <f t="shared" si="1"/>
        <v>-</v>
      </c>
      <c r="F38" s="102">
        <f t="shared" si="2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995</v>
      </c>
      <c r="D39" s="85">
        <f>C39</f>
        <v>995</v>
      </c>
      <c r="E39" s="101" t="str">
        <f t="shared" si="1"/>
        <v>-</v>
      </c>
      <c r="F39" s="102">
        <f t="shared" si="2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214</v>
      </c>
      <c r="D40" s="85">
        <f>D41+D43+D44+D45+D46+D47</f>
        <v>214</v>
      </c>
      <c r="E40" s="101" t="str">
        <f t="shared" si="1"/>
        <v>-</v>
      </c>
      <c r="F40" s="102">
        <f t="shared" si="2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17</v>
      </c>
      <c r="D41" s="85">
        <f>C41</f>
        <v>17</v>
      </c>
      <c r="E41" s="101" t="str">
        <f t="shared" si="1"/>
        <v>-</v>
      </c>
      <c r="F41" s="102">
        <f t="shared" si="2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17</v>
      </c>
      <c r="D42" s="85">
        <f aca="true" t="shared" si="3" ref="D42:D61">C42</f>
        <v>17</v>
      </c>
      <c r="E42" s="101" t="str">
        <f t="shared" si="1"/>
        <v>-</v>
      </c>
      <c r="F42" s="102">
        <f t="shared" si="2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42</v>
      </c>
      <c r="D43" s="85">
        <f t="shared" si="3"/>
        <v>42</v>
      </c>
      <c r="E43" s="101" t="str">
        <f t="shared" si="1"/>
        <v>-</v>
      </c>
      <c r="F43" s="102">
        <f t="shared" si="2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1"/>
        <v>-</v>
      </c>
      <c r="F44" s="102" t="str">
        <f t="shared" si="2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1"/>
        <v>-</v>
      </c>
      <c r="F45" s="102" t="str">
        <f t="shared" si="2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150</v>
      </c>
      <c r="D46" s="85">
        <f t="shared" si="3"/>
        <v>150</v>
      </c>
      <c r="E46" s="101" t="str">
        <f t="shared" si="1"/>
        <v>-</v>
      </c>
      <c r="F46" s="102">
        <f t="shared" si="2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5</v>
      </c>
      <c r="D47" s="85">
        <f>C47</f>
        <v>5</v>
      </c>
      <c r="E47" s="101" t="str">
        <f t="shared" si="1"/>
        <v>-</v>
      </c>
      <c r="F47" s="102">
        <f t="shared" si="2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9216</v>
      </c>
      <c r="D48" s="85">
        <f>C48+168</f>
        <v>9384</v>
      </c>
      <c r="E48" s="101">
        <f t="shared" si="1"/>
        <v>168</v>
      </c>
      <c r="F48" s="102">
        <f t="shared" si="2"/>
        <v>1.0182</v>
      </c>
      <c r="H48" s="99"/>
    </row>
    <row r="49" spans="1:8" ht="28.5" customHeight="1">
      <c r="A49" s="42" t="s">
        <v>187</v>
      </c>
      <c r="B49" s="43" t="s">
        <v>188</v>
      </c>
      <c r="C49" s="81">
        <v>0</v>
      </c>
      <c r="D49" s="85">
        <f>C49</f>
        <v>0</v>
      </c>
      <c r="E49" s="101" t="str">
        <f t="shared" si="1"/>
        <v>-</v>
      </c>
      <c r="F49" s="102" t="str">
        <f t="shared" si="2"/>
        <v>-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2050</v>
      </c>
      <c r="D50" s="85">
        <f>D51+D52+D53+D54</f>
        <v>2083</v>
      </c>
      <c r="E50" s="101">
        <f t="shared" si="1"/>
        <v>33</v>
      </c>
      <c r="F50" s="102">
        <f t="shared" si="2"/>
        <v>1.0161</v>
      </c>
      <c r="H50" s="99"/>
    </row>
    <row r="51" spans="1:8" ht="28.5" customHeight="1">
      <c r="A51" s="42" t="s">
        <v>51</v>
      </c>
      <c r="B51" s="43" t="s">
        <v>47</v>
      </c>
      <c r="C51" s="85">
        <v>1584</v>
      </c>
      <c r="D51" s="85">
        <f>C51+28</f>
        <v>1612</v>
      </c>
      <c r="E51" s="101">
        <f t="shared" si="1"/>
        <v>28</v>
      </c>
      <c r="F51" s="102">
        <f t="shared" si="2"/>
        <v>1.0177</v>
      </c>
      <c r="H51" s="99"/>
    </row>
    <row r="52" spans="1:8" ht="28.5" customHeight="1">
      <c r="A52" s="42" t="s">
        <v>52</v>
      </c>
      <c r="B52" s="43" t="s">
        <v>48</v>
      </c>
      <c r="C52" s="85">
        <v>226</v>
      </c>
      <c r="D52" s="85">
        <f>C52+5</f>
        <v>231</v>
      </c>
      <c r="E52" s="101">
        <f t="shared" si="1"/>
        <v>5</v>
      </c>
      <c r="F52" s="102">
        <f t="shared" si="2"/>
        <v>1.0221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1"/>
        <v>-</v>
      </c>
      <c r="F53" s="102" t="str">
        <f t="shared" si="2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240</v>
      </c>
      <c r="D54" s="85">
        <f t="shared" si="3"/>
        <v>240</v>
      </c>
      <c r="E54" s="101" t="str">
        <f t="shared" si="1"/>
        <v>-</v>
      </c>
      <c r="F54" s="102">
        <f t="shared" si="2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1"/>
        <v>-</v>
      </c>
      <c r="F55" s="102" t="str">
        <f t="shared" si="2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1066</v>
      </c>
      <c r="D56" s="85">
        <f>C56</f>
        <v>1066</v>
      </c>
      <c r="E56" s="101" t="str">
        <f t="shared" si="1"/>
        <v>-</v>
      </c>
      <c r="F56" s="105">
        <f t="shared" si="2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248</v>
      </c>
      <c r="D57" s="85">
        <f>C57</f>
        <v>248</v>
      </c>
      <c r="E57" s="101" t="str">
        <f t="shared" si="1"/>
        <v>-</v>
      </c>
      <c r="F57" s="102">
        <f t="shared" si="2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3986</v>
      </c>
      <c r="D58" s="27">
        <f>D59+D60+D61+D62</f>
        <v>3986</v>
      </c>
      <c r="E58" s="13" t="str">
        <f t="shared" si="1"/>
        <v>-</v>
      </c>
      <c r="F58" s="106">
        <f t="shared" si="2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3</v>
      </c>
      <c r="D59" s="85">
        <f t="shared" si="3"/>
        <v>3</v>
      </c>
      <c r="E59" s="77" t="str">
        <f t="shared" si="1"/>
        <v>-</v>
      </c>
      <c r="F59" s="102">
        <f t="shared" si="2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3740</v>
      </c>
      <c r="D60" s="85">
        <f t="shared" si="3"/>
        <v>3740</v>
      </c>
      <c r="E60" s="77" t="str">
        <f t="shared" si="1"/>
        <v>-</v>
      </c>
      <c r="F60" s="102">
        <f t="shared" si="2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1"/>
        <v>-</v>
      </c>
      <c r="F61" s="102" t="str">
        <f t="shared" si="2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243</v>
      </c>
      <c r="D62" s="85">
        <f>C62</f>
        <v>243</v>
      </c>
      <c r="E62" s="77" t="str">
        <f t="shared" si="1"/>
        <v>-</v>
      </c>
      <c r="F62" s="102">
        <f t="shared" si="2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443</v>
      </c>
      <c r="D63" s="27">
        <f>C63</f>
        <v>443</v>
      </c>
      <c r="E63" s="13" t="str">
        <f t="shared" si="1"/>
        <v>-</v>
      </c>
      <c r="F63" s="106">
        <f t="shared" si="2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73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3623614</v>
      </c>
      <c r="D7" s="16">
        <f>D8+D9+D10+D15+D16+D17+D18+D19+D20+D21+D22+D23+D24+D25+D29+D30+D32+D33</f>
        <v>3623614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441786</v>
      </c>
      <c r="D8" s="25">
        <f>C8</f>
        <v>441786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325692</v>
      </c>
      <c r="D9" s="25">
        <f aca="true" t="shared" si="2" ref="D9:D33">C9</f>
        <v>325692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1704150</v>
      </c>
      <c r="D10" s="25">
        <f t="shared" si="2"/>
        <v>1704150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117204</v>
      </c>
      <c r="D11" s="25">
        <f t="shared" si="2"/>
        <v>117204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104196</v>
      </c>
      <c r="D12" s="25">
        <f t="shared" si="2"/>
        <v>104196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77907</v>
      </c>
      <c r="D13" s="25">
        <f t="shared" si="2"/>
        <v>77907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36235</v>
      </c>
      <c r="D14" s="25">
        <f t="shared" si="2"/>
        <v>36235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138023</v>
      </c>
      <c r="D15" s="25">
        <f t="shared" si="2"/>
        <v>138023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107101</v>
      </c>
      <c r="D16" s="25">
        <f t="shared" si="2"/>
        <v>107101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42009</v>
      </c>
      <c r="D17" s="25">
        <f t="shared" si="2"/>
        <v>42009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19687</v>
      </c>
      <c r="D18" s="25">
        <f t="shared" si="2"/>
        <v>19687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107673</v>
      </c>
      <c r="D19" s="25">
        <f t="shared" si="2"/>
        <v>107673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27000</v>
      </c>
      <c r="D20" s="25">
        <f t="shared" si="2"/>
        <v>27000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1460</v>
      </c>
      <c r="D21" s="25">
        <f t="shared" si="2"/>
        <v>1460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10445</v>
      </c>
      <c r="D22" s="25">
        <f t="shared" si="2"/>
        <v>10445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107892</v>
      </c>
      <c r="D23" s="25">
        <f t="shared" si="2"/>
        <v>107892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50000</v>
      </c>
      <c r="D24" s="25">
        <f t="shared" si="2"/>
        <v>50000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528687</v>
      </c>
      <c r="D25" s="81">
        <f>SUM(D26:D28)</f>
        <v>528687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527987</v>
      </c>
      <c r="D26" s="25">
        <f t="shared" si="2"/>
        <v>527987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500</v>
      </c>
      <c r="D27" s="25">
        <f t="shared" si="2"/>
        <v>500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200</v>
      </c>
      <c r="D28" s="25">
        <f t="shared" si="2"/>
        <v>200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12009</v>
      </c>
      <c r="D33" s="25">
        <f t="shared" si="2"/>
        <v>12009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103358</v>
      </c>
      <c r="D35" s="96">
        <f>C35</f>
        <v>103358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669118</v>
      </c>
      <c r="D36" s="84">
        <f>D12+D14+D25+D31</f>
        <v>669118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31201</v>
      </c>
      <c r="D37" s="24">
        <f>D38+D39+D40+D48+D50+D56+D57+D55</f>
        <v>31480</v>
      </c>
      <c r="E37" s="13">
        <f t="shared" si="0"/>
        <v>279</v>
      </c>
      <c r="F37" s="104">
        <f t="shared" si="1"/>
        <v>1.0089</v>
      </c>
      <c r="H37" s="99"/>
    </row>
    <row r="38" spans="1:8" ht="28.5" customHeight="1">
      <c r="A38" s="31" t="s">
        <v>17</v>
      </c>
      <c r="B38" s="40" t="s">
        <v>18</v>
      </c>
      <c r="C38" s="81">
        <v>1709</v>
      </c>
      <c r="D38" s="85">
        <f>C38</f>
        <v>1709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3108</v>
      </c>
      <c r="D39" s="85">
        <f>C39</f>
        <v>3108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279</v>
      </c>
      <c r="D40" s="85">
        <f>D41+D43+D44+D45+D46+D47</f>
        <v>279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46</v>
      </c>
      <c r="D41" s="85">
        <f>C41</f>
        <v>46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46</v>
      </c>
      <c r="D42" s="85">
        <f aca="true" t="shared" si="3" ref="D42:D61">C42</f>
        <v>46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6</v>
      </c>
      <c r="D44" s="85">
        <f t="shared" si="3"/>
        <v>6</v>
      </c>
      <c r="E44" s="101" t="str">
        <f t="shared" si="0"/>
        <v>-</v>
      </c>
      <c r="F44" s="102">
        <f t="shared" si="1"/>
        <v>1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209</v>
      </c>
      <c r="D46" s="85">
        <f t="shared" si="3"/>
        <v>209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18</v>
      </c>
      <c r="D47" s="85">
        <f t="shared" si="3"/>
        <v>18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17941</v>
      </c>
      <c r="D48" s="85">
        <f>C48+237</f>
        <v>18178</v>
      </c>
      <c r="E48" s="101">
        <f t="shared" si="0"/>
        <v>237</v>
      </c>
      <c r="F48" s="102">
        <f t="shared" si="1"/>
        <v>1.0132</v>
      </c>
      <c r="H48" s="99"/>
    </row>
    <row r="49" spans="1:8" ht="28.5" customHeight="1">
      <c r="A49" s="42" t="s">
        <v>187</v>
      </c>
      <c r="B49" s="43" t="s">
        <v>188</v>
      </c>
      <c r="C49" s="81">
        <v>100</v>
      </c>
      <c r="D49" s="85">
        <f>C49</f>
        <v>100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3986</v>
      </c>
      <c r="D50" s="85">
        <f>D51+D52+D53+D54</f>
        <v>4028</v>
      </c>
      <c r="E50" s="101">
        <f t="shared" si="0"/>
        <v>42</v>
      </c>
      <c r="F50" s="102">
        <f t="shared" si="1"/>
        <v>1.0105</v>
      </c>
      <c r="H50" s="99"/>
    </row>
    <row r="51" spans="1:8" ht="28.5" customHeight="1">
      <c r="A51" s="42" t="s">
        <v>51</v>
      </c>
      <c r="B51" s="43" t="s">
        <v>47</v>
      </c>
      <c r="C51" s="85">
        <v>3084</v>
      </c>
      <c r="D51" s="85">
        <f>C51+41</f>
        <v>3125</v>
      </c>
      <c r="E51" s="101">
        <f t="shared" si="0"/>
        <v>41</v>
      </c>
      <c r="F51" s="102">
        <f t="shared" si="1"/>
        <v>1.0133</v>
      </c>
      <c r="H51" s="99"/>
    </row>
    <row r="52" spans="1:8" ht="28.5" customHeight="1">
      <c r="A52" s="42" t="s">
        <v>52</v>
      </c>
      <c r="B52" s="43" t="s">
        <v>48</v>
      </c>
      <c r="C52" s="85">
        <v>440</v>
      </c>
      <c r="D52" s="85">
        <f>C52+1</f>
        <v>441</v>
      </c>
      <c r="E52" s="101">
        <f t="shared" si="0"/>
        <v>1</v>
      </c>
      <c r="F52" s="102">
        <f t="shared" si="1"/>
        <v>1.0023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462</v>
      </c>
      <c r="D54" s="85">
        <f t="shared" si="3"/>
        <v>462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3925</v>
      </c>
      <c r="D56" s="85">
        <f>C56</f>
        <v>3925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253</v>
      </c>
      <c r="D57" s="85">
        <f>C57</f>
        <v>253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28764</v>
      </c>
      <c r="D58" s="27">
        <f>D59+D60+D61+D62</f>
        <v>28764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65</v>
      </c>
      <c r="D59" s="85">
        <f t="shared" si="3"/>
        <v>65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24004</v>
      </c>
      <c r="D60" s="85">
        <f t="shared" si="3"/>
        <v>24004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4695</v>
      </c>
      <c r="D62" s="85">
        <f>C62</f>
        <v>4695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8089</v>
      </c>
      <c r="D63" s="27">
        <f>C63</f>
        <v>8089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74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7590652</v>
      </c>
      <c r="D7" s="16">
        <f>D8+D9+D10+D15+D16+D17+D18+D19+D20+D21+D22+D23+D24+D25+D29+D30+D32+D33</f>
        <v>7590652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25">
        <v>913414</v>
      </c>
      <c r="D8" s="25">
        <f>C8</f>
        <v>913414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25">
        <v>721558</v>
      </c>
      <c r="D9" s="25">
        <f aca="true" t="shared" si="2" ref="D9:D33">C9</f>
        <v>721558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25">
        <v>3505869</v>
      </c>
      <c r="D10" s="25">
        <f t="shared" si="2"/>
        <v>3505869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25">
        <v>278488</v>
      </c>
      <c r="D11" s="25">
        <f t="shared" si="2"/>
        <v>278488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25">
        <v>249110</v>
      </c>
      <c r="D12" s="25">
        <f t="shared" si="2"/>
        <v>249110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25">
        <v>154755</v>
      </c>
      <c r="D13" s="25">
        <f t="shared" si="2"/>
        <v>154755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25">
        <v>57656</v>
      </c>
      <c r="D14" s="25">
        <f t="shared" si="2"/>
        <v>57656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25">
        <v>280187</v>
      </c>
      <c r="D15" s="25">
        <f t="shared" si="2"/>
        <v>280187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25">
        <v>235714</v>
      </c>
      <c r="D16" s="25">
        <f t="shared" si="2"/>
        <v>235714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25">
        <v>186539</v>
      </c>
      <c r="D17" s="25">
        <f t="shared" si="2"/>
        <v>186539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25">
        <v>46981</v>
      </c>
      <c r="D18" s="25">
        <f t="shared" si="2"/>
        <v>46981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25">
        <v>210271</v>
      </c>
      <c r="D19" s="25">
        <f t="shared" si="2"/>
        <v>210271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25">
        <v>70000</v>
      </c>
      <c r="D20" s="25">
        <f t="shared" si="2"/>
        <v>70000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25">
        <v>4683</v>
      </c>
      <c r="D21" s="25">
        <f t="shared" si="2"/>
        <v>4683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25">
        <v>28462</v>
      </c>
      <c r="D22" s="25">
        <f t="shared" si="2"/>
        <v>28462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25">
        <v>196209</v>
      </c>
      <c r="D23" s="25">
        <f t="shared" si="2"/>
        <v>196209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25">
        <v>106100</v>
      </c>
      <c r="D24" s="25">
        <f t="shared" si="2"/>
        <v>106100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1033759</v>
      </c>
      <c r="D25" s="81">
        <f>SUM(D26:D28)</f>
        <v>1033759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25">
        <v>1032944</v>
      </c>
      <c r="D26" s="25">
        <f t="shared" si="2"/>
        <v>1032944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25">
        <v>724</v>
      </c>
      <c r="D27" s="25">
        <f t="shared" si="2"/>
        <v>724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25">
        <v>91</v>
      </c>
      <c r="D28" s="25">
        <f t="shared" si="2"/>
        <v>91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25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25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25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25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25">
        <v>50906</v>
      </c>
      <c r="D33" s="25">
        <f t="shared" si="2"/>
        <v>50906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199509</v>
      </c>
      <c r="D35" s="96">
        <f>C35</f>
        <v>199509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1340525</v>
      </c>
      <c r="D36" s="84">
        <f>D12+D14+D25+D31</f>
        <v>1340525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60250</v>
      </c>
      <c r="D37" s="24">
        <f>D38+D39+D40+D48+D50+D56+D57+D55</f>
        <v>60613</v>
      </c>
      <c r="E37" s="13">
        <f t="shared" si="0"/>
        <v>363</v>
      </c>
      <c r="F37" s="104">
        <f t="shared" si="1"/>
        <v>1.006</v>
      </c>
      <c r="H37" s="99"/>
    </row>
    <row r="38" spans="1:8" ht="28.5" customHeight="1">
      <c r="A38" s="31" t="s">
        <v>17</v>
      </c>
      <c r="B38" s="40" t="s">
        <v>18</v>
      </c>
      <c r="C38" s="81">
        <v>2691</v>
      </c>
      <c r="D38" s="85">
        <f>C38</f>
        <v>2691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7328</v>
      </c>
      <c r="D39" s="85">
        <f>C39</f>
        <v>7328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652</v>
      </c>
      <c r="D40" s="85">
        <f>D41+D43+D44+D45+D46+D47</f>
        <v>652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90</v>
      </c>
      <c r="D41" s="85">
        <f>C41</f>
        <v>90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90</v>
      </c>
      <c r="D42" s="85">
        <f aca="true" t="shared" si="3" ref="D42:D61">C42</f>
        <v>90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23</v>
      </c>
      <c r="D44" s="85">
        <f t="shared" si="3"/>
        <v>23</v>
      </c>
      <c r="E44" s="101" t="str">
        <f t="shared" si="0"/>
        <v>-</v>
      </c>
      <c r="F44" s="102">
        <f t="shared" si="1"/>
        <v>1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516</v>
      </c>
      <c r="D46" s="85">
        <f t="shared" si="3"/>
        <v>516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23</v>
      </c>
      <c r="D47" s="85">
        <f>C47</f>
        <v>23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36086</v>
      </c>
      <c r="D48" s="85">
        <f>C48+304</f>
        <v>36390</v>
      </c>
      <c r="E48" s="101">
        <f t="shared" si="0"/>
        <v>304</v>
      </c>
      <c r="F48" s="102">
        <f t="shared" si="1"/>
        <v>1.0084</v>
      </c>
      <c r="H48" s="99"/>
    </row>
    <row r="49" spans="1:8" ht="28.5" customHeight="1">
      <c r="A49" s="42" t="s">
        <v>187</v>
      </c>
      <c r="B49" s="43" t="s">
        <v>188</v>
      </c>
      <c r="C49" s="81">
        <v>250</v>
      </c>
      <c r="D49" s="85">
        <f>C49</f>
        <v>250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7997</v>
      </c>
      <c r="D50" s="85">
        <f>D51+D52+D53+D54</f>
        <v>8056</v>
      </c>
      <c r="E50" s="101">
        <f t="shared" si="0"/>
        <v>59</v>
      </c>
      <c r="F50" s="102">
        <f t="shared" si="1"/>
        <v>1.0074</v>
      </c>
      <c r="H50" s="99"/>
    </row>
    <row r="51" spans="1:8" ht="28.5" customHeight="1">
      <c r="A51" s="42" t="s">
        <v>51</v>
      </c>
      <c r="B51" s="43" t="s">
        <v>47</v>
      </c>
      <c r="C51" s="85">
        <v>6203</v>
      </c>
      <c r="D51" s="85">
        <f>C51+52</f>
        <v>6255</v>
      </c>
      <c r="E51" s="101">
        <f t="shared" si="0"/>
        <v>52</v>
      </c>
      <c r="F51" s="102">
        <f t="shared" si="1"/>
        <v>1.0084</v>
      </c>
      <c r="H51" s="99"/>
    </row>
    <row r="52" spans="1:8" ht="28.5" customHeight="1">
      <c r="A52" s="42" t="s">
        <v>52</v>
      </c>
      <c r="B52" s="43" t="s">
        <v>48</v>
      </c>
      <c r="C52" s="85">
        <v>884</v>
      </c>
      <c r="D52" s="85">
        <f>C52+7</f>
        <v>891</v>
      </c>
      <c r="E52" s="101">
        <f t="shared" si="0"/>
        <v>7</v>
      </c>
      <c r="F52" s="102">
        <f t="shared" si="1"/>
        <v>1.0079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910</v>
      </c>
      <c r="D54" s="85">
        <f t="shared" si="3"/>
        <v>910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5106</v>
      </c>
      <c r="D56" s="85">
        <f>C56</f>
        <v>5106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390</v>
      </c>
      <c r="D57" s="85">
        <f>C57</f>
        <v>390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6435</v>
      </c>
      <c r="D58" s="27">
        <f>D59+D60+D61+D62</f>
        <v>6435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450</v>
      </c>
      <c r="D59" s="85">
        <f t="shared" si="3"/>
        <v>450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5385</v>
      </c>
      <c r="D60" s="85">
        <f t="shared" si="3"/>
        <v>5385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600</v>
      </c>
      <c r="D62" s="85">
        <f>C62</f>
        <v>600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3066</v>
      </c>
      <c r="D63" s="27">
        <f>C63</f>
        <v>3066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ySplit="7" topLeftCell="A35" activePane="bottomLeft" state="frozen"/>
      <selection pane="topLeft" activeCell="G1" sqref="G1:H65536"/>
      <selection pane="bottomLef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75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2131241</v>
      </c>
      <c r="D7" s="16">
        <f>D8+D9+D10+D15+D16+D17+D18+D19+D20+D21+D22+D23+D24+D25+D29+D30+D32+D33</f>
        <v>2131241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254680</v>
      </c>
      <c r="D8" s="25">
        <f>C8</f>
        <v>254680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157572</v>
      </c>
      <c r="D9" s="25">
        <f aca="true" t="shared" si="2" ref="D9:D33">C9</f>
        <v>157572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1031252</v>
      </c>
      <c r="D10" s="25">
        <f t="shared" si="2"/>
        <v>1031252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75518</v>
      </c>
      <c r="D11" s="25">
        <f t="shared" si="2"/>
        <v>75518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66229</v>
      </c>
      <c r="D12" s="25">
        <f t="shared" si="2"/>
        <v>66229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49372</v>
      </c>
      <c r="D13" s="25">
        <f t="shared" si="2"/>
        <v>49372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18824</v>
      </c>
      <c r="D14" s="25">
        <f t="shared" si="2"/>
        <v>18824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67767</v>
      </c>
      <c r="D15" s="25">
        <f t="shared" si="2"/>
        <v>67767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70602</v>
      </c>
      <c r="D16" s="25">
        <f t="shared" si="2"/>
        <v>70602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43304</v>
      </c>
      <c r="D17" s="25">
        <f t="shared" si="2"/>
        <v>43304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12408</v>
      </c>
      <c r="D18" s="25">
        <f t="shared" si="2"/>
        <v>12408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63670</v>
      </c>
      <c r="D19" s="25">
        <f t="shared" si="2"/>
        <v>63670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25000</v>
      </c>
      <c r="D20" s="25">
        <f t="shared" si="2"/>
        <v>25000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1500</v>
      </c>
      <c r="D21" s="25">
        <f t="shared" si="2"/>
        <v>1500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5362</v>
      </c>
      <c r="D22" s="25">
        <f t="shared" si="2"/>
        <v>5362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50194</v>
      </c>
      <c r="D23" s="25">
        <f t="shared" si="2"/>
        <v>50194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30039</v>
      </c>
      <c r="D24" s="25">
        <f t="shared" si="2"/>
        <v>30039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276730</v>
      </c>
      <c r="D25" s="81">
        <f>SUM(D26:D28)</f>
        <v>276730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276508</v>
      </c>
      <c r="D26" s="25">
        <f t="shared" si="2"/>
        <v>276508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88</v>
      </c>
      <c r="D27" s="25">
        <f t="shared" si="2"/>
        <v>88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134</v>
      </c>
      <c r="D28" s="25">
        <f t="shared" si="2"/>
        <v>134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41161</v>
      </c>
      <c r="D33" s="25">
        <f t="shared" si="2"/>
        <v>41161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56472</v>
      </c>
      <c r="D35" s="96">
        <f>C35</f>
        <v>56472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361783</v>
      </c>
      <c r="D36" s="84">
        <f>D12+D14+D25+D31</f>
        <v>361783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18638</v>
      </c>
      <c r="D37" s="24">
        <f>D38+D39+D40+D48+D50+D56+D57+D55</f>
        <v>18837</v>
      </c>
      <c r="E37" s="13">
        <f t="shared" si="0"/>
        <v>199</v>
      </c>
      <c r="F37" s="104">
        <f t="shared" si="1"/>
        <v>1.0107</v>
      </c>
      <c r="H37" s="99"/>
    </row>
    <row r="38" spans="1:8" ht="28.5" customHeight="1">
      <c r="A38" s="31" t="s">
        <v>17</v>
      </c>
      <c r="B38" s="40" t="s">
        <v>18</v>
      </c>
      <c r="C38" s="81">
        <v>874</v>
      </c>
      <c r="D38" s="85">
        <f>C38</f>
        <v>874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1926</v>
      </c>
      <c r="D39" s="85">
        <f>C39</f>
        <v>1926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55</v>
      </c>
      <c r="D40" s="85">
        <f>D41+D43+D44+D45+D46+D47</f>
        <v>55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7</v>
      </c>
      <c r="D41" s="85">
        <f>C41</f>
        <v>7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7</v>
      </c>
      <c r="D42" s="85">
        <f aca="true" t="shared" si="3" ref="D42:D61">C42</f>
        <v>7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3</v>
      </c>
      <c r="D43" s="85">
        <f t="shared" si="3"/>
        <v>3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45</v>
      </c>
      <c r="D46" s="85">
        <f t="shared" si="3"/>
        <v>45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0</v>
      </c>
      <c r="D47" s="85">
        <f>C47</f>
        <v>0</v>
      </c>
      <c r="E47" s="101" t="str">
        <f t="shared" si="0"/>
        <v>-</v>
      </c>
      <c r="F47" s="102" t="str">
        <f t="shared" si="1"/>
        <v>-</v>
      </c>
      <c r="H47" s="99"/>
    </row>
    <row r="48" spans="1:8" ht="28.5" customHeight="1">
      <c r="A48" s="31" t="s">
        <v>22</v>
      </c>
      <c r="B48" s="40" t="s">
        <v>186</v>
      </c>
      <c r="C48" s="81">
        <v>10128</v>
      </c>
      <c r="D48" s="85">
        <f>C48+166</f>
        <v>10294</v>
      </c>
      <c r="E48" s="101">
        <f t="shared" si="0"/>
        <v>166</v>
      </c>
      <c r="F48" s="102">
        <f t="shared" si="1"/>
        <v>1.0164</v>
      </c>
      <c r="H48" s="99"/>
    </row>
    <row r="49" spans="1:8" ht="28.5" customHeight="1">
      <c r="A49" s="42" t="s">
        <v>187</v>
      </c>
      <c r="B49" s="43" t="s">
        <v>188</v>
      </c>
      <c r="C49" s="81">
        <v>35</v>
      </c>
      <c r="D49" s="85">
        <f>C49</f>
        <v>35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2250</v>
      </c>
      <c r="D50" s="85">
        <f>D51+D52+D53+D54</f>
        <v>2283</v>
      </c>
      <c r="E50" s="101">
        <f t="shared" si="0"/>
        <v>33</v>
      </c>
      <c r="F50" s="102">
        <f t="shared" si="1"/>
        <v>1.0147</v>
      </c>
      <c r="H50" s="99"/>
    </row>
    <row r="51" spans="1:8" ht="28.5" customHeight="1">
      <c r="A51" s="42" t="s">
        <v>51</v>
      </c>
      <c r="B51" s="43" t="s">
        <v>47</v>
      </c>
      <c r="C51" s="85">
        <v>1741</v>
      </c>
      <c r="D51" s="85">
        <f>C51+29</f>
        <v>1770</v>
      </c>
      <c r="E51" s="101">
        <f t="shared" si="0"/>
        <v>29</v>
      </c>
      <c r="F51" s="102">
        <f t="shared" si="1"/>
        <v>1.0167</v>
      </c>
      <c r="H51" s="99"/>
    </row>
    <row r="52" spans="1:8" ht="28.5" customHeight="1">
      <c r="A52" s="42" t="s">
        <v>52</v>
      </c>
      <c r="B52" s="43" t="s">
        <v>48</v>
      </c>
      <c r="C52" s="85">
        <v>248</v>
      </c>
      <c r="D52" s="85">
        <f>C52+4</f>
        <v>252</v>
      </c>
      <c r="E52" s="101">
        <f t="shared" si="0"/>
        <v>4</v>
      </c>
      <c r="F52" s="102">
        <f t="shared" si="1"/>
        <v>1.0161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261</v>
      </c>
      <c r="D54" s="85">
        <f t="shared" si="3"/>
        <v>261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3231</v>
      </c>
      <c r="D56" s="85">
        <f>C56</f>
        <v>3231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174</v>
      </c>
      <c r="D57" s="85">
        <f>C57</f>
        <v>174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25678</v>
      </c>
      <c r="D58" s="27">
        <f>D59+D60+D61+D62</f>
        <v>25678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3</v>
      </c>
      <c r="D59" s="85">
        <f t="shared" si="3"/>
        <v>3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24175</v>
      </c>
      <c r="D60" s="85">
        <f t="shared" si="3"/>
        <v>24175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1500</v>
      </c>
      <c r="D62" s="85">
        <f>C62</f>
        <v>1500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3885</v>
      </c>
      <c r="D63" s="27">
        <f>C63</f>
        <v>3885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76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2252858</v>
      </c>
      <c r="D7" s="16">
        <f>D8+D9+D10+D15+D16+D17+D18+D19+D20+D21+D22+D23+D24+D25+D29+D30+D32+D33</f>
        <v>2252858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281220</v>
      </c>
      <c r="D8" s="25">
        <f>C8</f>
        <v>281220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188423</v>
      </c>
      <c r="D9" s="25">
        <f aca="true" t="shared" si="2" ref="D9:D33">C9</f>
        <v>188423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1090325</v>
      </c>
      <c r="D10" s="25">
        <f t="shared" si="2"/>
        <v>1090325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79130</v>
      </c>
      <c r="D11" s="25">
        <f t="shared" si="2"/>
        <v>79130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71471</v>
      </c>
      <c r="D12" s="25">
        <f t="shared" si="2"/>
        <v>71471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48206</v>
      </c>
      <c r="D13" s="25">
        <f t="shared" si="2"/>
        <v>48206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22846</v>
      </c>
      <c r="D14" s="25">
        <f t="shared" si="2"/>
        <v>22846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84217</v>
      </c>
      <c r="D15" s="25">
        <f t="shared" si="2"/>
        <v>84217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69346</v>
      </c>
      <c r="D16" s="25">
        <f t="shared" si="2"/>
        <v>69346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35148</v>
      </c>
      <c r="D17" s="25">
        <f t="shared" si="2"/>
        <v>35148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15229</v>
      </c>
      <c r="D18" s="25">
        <f t="shared" si="2"/>
        <v>15229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84670</v>
      </c>
      <c r="D19" s="25">
        <f t="shared" si="2"/>
        <v>84670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19674</v>
      </c>
      <c r="D20" s="25">
        <f t="shared" si="2"/>
        <v>19674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2900</v>
      </c>
      <c r="D21" s="25">
        <f t="shared" si="2"/>
        <v>2900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6530</v>
      </c>
      <c r="D22" s="25">
        <f t="shared" si="2"/>
        <v>6530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62098</v>
      </c>
      <c r="D23" s="25">
        <f t="shared" si="2"/>
        <v>62098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25000</v>
      </c>
      <c r="D24" s="25">
        <f t="shared" si="2"/>
        <v>25000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275705</v>
      </c>
      <c r="D25" s="81">
        <f>SUM(D26:D28)</f>
        <v>275705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275035</v>
      </c>
      <c r="D26" s="25">
        <f t="shared" si="2"/>
        <v>275035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520</v>
      </c>
      <c r="D27" s="25">
        <f t="shared" si="2"/>
        <v>520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150</v>
      </c>
      <c r="D28" s="25">
        <f t="shared" si="2"/>
        <v>150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12373</v>
      </c>
      <c r="D33" s="25">
        <f t="shared" si="2"/>
        <v>12373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91885</v>
      </c>
      <c r="D35" s="96">
        <f>C35</f>
        <v>91885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370022</v>
      </c>
      <c r="D36" s="84">
        <f>D12+D14+D25+D31</f>
        <v>370022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19035</v>
      </c>
      <c r="D37" s="24">
        <f>D38+D39+D40+D48+D50+D56+D57+D55</f>
        <v>19181</v>
      </c>
      <c r="E37" s="13">
        <f t="shared" si="0"/>
        <v>146</v>
      </c>
      <c r="F37" s="104">
        <f t="shared" si="1"/>
        <v>1.0077</v>
      </c>
      <c r="H37" s="99"/>
    </row>
    <row r="38" spans="1:8" ht="28.5" customHeight="1">
      <c r="A38" s="31" t="s">
        <v>17</v>
      </c>
      <c r="B38" s="40" t="s">
        <v>18</v>
      </c>
      <c r="C38" s="81">
        <v>820</v>
      </c>
      <c r="D38" s="85">
        <f>C38</f>
        <v>820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1880</v>
      </c>
      <c r="D39" s="85">
        <f>C39</f>
        <v>1880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108</v>
      </c>
      <c r="D40" s="85">
        <f>D41+D43+D44+D45+D46+D47</f>
        <v>108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34</v>
      </c>
      <c r="D41" s="85">
        <f>C41</f>
        <v>34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31</v>
      </c>
      <c r="D42" s="85">
        <f aca="true" t="shared" si="3" ref="D42:D61">C42</f>
        <v>31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71</v>
      </c>
      <c r="D46" s="85">
        <f t="shared" si="3"/>
        <v>71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3</v>
      </c>
      <c r="D47" s="85">
        <f>C47</f>
        <v>3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10578</v>
      </c>
      <c r="D48" s="85">
        <f>C48+122</f>
        <v>10700</v>
      </c>
      <c r="E48" s="101">
        <f t="shared" si="0"/>
        <v>122</v>
      </c>
      <c r="F48" s="102">
        <f t="shared" si="1"/>
        <v>1.0115</v>
      </c>
      <c r="H48" s="99"/>
    </row>
    <row r="49" spans="1:8" ht="28.5" customHeight="1">
      <c r="A49" s="42" t="s">
        <v>187</v>
      </c>
      <c r="B49" s="43" t="s">
        <v>188</v>
      </c>
      <c r="C49" s="81">
        <v>30</v>
      </c>
      <c r="D49" s="85">
        <f>C49</f>
        <v>30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2340</v>
      </c>
      <c r="D50" s="85">
        <f>D51+D52+D53+D54</f>
        <v>2364</v>
      </c>
      <c r="E50" s="101">
        <f t="shared" si="0"/>
        <v>24</v>
      </c>
      <c r="F50" s="102">
        <f t="shared" si="1"/>
        <v>1.0103</v>
      </c>
      <c r="H50" s="99"/>
    </row>
    <row r="51" spans="1:8" ht="28.5" customHeight="1">
      <c r="A51" s="42" t="s">
        <v>51</v>
      </c>
      <c r="B51" s="43" t="s">
        <v>47</v>
      </c>
      <c r="C51" s="85">
        <v>1818</v>
      </c>
      <c r="D51" s="85">
        <f>C51+21</f>
        <v>1839</v>
      </c>
      <c r="E51" s="101">
        <f t="shared" si="0"/>
        <v>21</v>
      </c>
      <c r="F51" s="102">
        <f t="shared" si="1"/>
        <v>1.0116</v>
      </c>
      <c r="H51" s="99"/>
    </row>
    <row r="52" spans="1:8" ht="28.5" customHeight="1">
      <c r="A52" s="42" t="s">
        <v>52</v>
      </c>
      <c r="B52" s="43" t="s">
        <v>48</v>
      </c>
      <c r="C52" s="85">
        <v>259</v>
      </c>
      <c r="D52" s="85">
        <f>C52+3</f>
        <v>262</v>
      </c>
      <c r="E52" s="101">
        <f t="shared" si="0"/>
        <v>3</v>
      </c>
      <c r="F52" s="102">
        <f t="shared" si="1"/>
        <v>1.0116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263</v>
      </c>
      <c r="D54" s="85">
        <f t="shared" si="3"/>
        <v>263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3161</v>
      </c>
      <c r="D56" s="85">
        <f>C56</f>
        <v>3161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148</v>
      </c>
      <c r="D57" s="85">
        <f>C57</f>
        <v>148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39642</v>
      </c>
      <c r="D58" s="27">
        <f>D59+D60+D61+D62</f>
        <v>39642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100</v>
      </c>
      <c r="D59" s="85">
        <f t="shared" si="3"/>
        <v>100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38805</v>
      </c>
      <c r="D60" s="85">
        <f t="shared" si="3"/>
        <v>38805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737</v>
      </c>
      <c r="D62" s="85">
        <f>C62</f>
        <v>737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2</v>
      </c>
      <c r="D63" s="27">
        <f>C63</f>
        <v>2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77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5538956</v>
      </c>
      <c r="D7" s="16">
        <f>D8+D9+D10+D15+D16+D17+D18+D19+D20+D21+D22+D23+D24+D25+D29+D30+D32+D33</f>
        <v>5538956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711500</v>
      </c>
      <c r="D8" s="25">
        <f>C8</f>
        <v>711500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486110</v>
      </c>
      <c r="D9" s="25">
        <f aca="true" t="shared" si="2" ref="D9:D33">C9</f>
        <v>486110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2589932</v>
      </c>
      <c r="D10" s="25">
        <f t="shared" si="2"/>
        <v>2589932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208476</v>
      </c>
      <c r="D11" s="25">
        <f t="shared" si="2"/>
        <v>208476</v>
      </c>
      <c r="E11" s="101" t="str">
        <f t="shared" si="0"/>
        <v>-</v>
      </c>
      <c r="F11" s="102">
        <f t="shared" si="1"/>
        <v>1</v>
      </c>
      <c r="H11" s="99"/>
    </row>
    <row r="12" spans="1:8" s="93" customFormat="1" ht="31.5" customHeight="1">
      <c r="A12" s="91" t="s">
        <v>168</v>
      </c>
      <c r="B12" s="92" t="s">
        <v>171</v>
      </c>
      <c r="C12" s="81">
        <v>191113</v>
      </c>
      <c r="D12" s="25">
        <f t="shared" si="2"/>
        <v>191113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101124</v>
      </c>
      <c r="D13" s="25">
        <f t="shared" si="2"/>
        <v>101124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34779</v>
      </c>
      <c r="D14" s="25">
        <f t="shared" si="2"/>
        <v>34779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201000</v>
      </c>
      <c r="D15" s="25">
        <f t="shared" si="2"/>
        <v>201000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160248</v>
      </c>
      <c r="D16" s="25">
        <f t="shared" si="2"/>
        <v>160248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62743</v>
      </c>
      <c r="D17" s="25">
        <f t="shared" si="2"/>
        <v>62743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39305</v>
      </c>
      <c r="D18" s="25">
        <f t="shared" si="2"/>
        <v>39305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152353</v>
      </c>
      <c r="D19" s="25">
        <f t="shared" si="2"/>
        <v>152353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60200</v>
      </c>
      <c r="D20" s="25">
        <f t="shared" si="2"/>
        <v>60200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3400</v>
      </c>
      <c r="D21" s="25">
        <f t="shared" si="2"/>
        <v>3400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16729</v>
      </c>
      <c r="D22" s="25">
        <f t="shared" si="2"/>
        <v>16729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157830</v>
      </c>
      <c r="D23" s="25">
        <f t="shared" si="2"/>
        <v>157830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65291</v>
      </c>
      <c r="D24" s="25">
        <f t="shared" si="2"/>
        <v>65291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721789</v>
      </c>
      <c r="D25" s="81">
        <f>SUM(D26:D28)</f>
        <v>721789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720739</v>
      </c>
      <c r="D26" s="25">
        <f t="shared" si="2"/>
        <v>720739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800</v>
      </c>
      <c r="D27" s="25">
        <f t="shared" si="2"/>
        <v>800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250</v>
      </c>
      <c r="D28" s="25">
        <f t="shared" si="2"/>
        <v>250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110526</v>
      </c>
      <c r="D33" s="25">
        <f t="shared" si="2"/>
        <v>110526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6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6">
        <v>145266</v>
      </c>
      <c r="D35" s="96">
        <f>C35</f>
        <v>145266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6">
        <f>C12+C14+C25+C31</f>
        <v>947681</v>
      </c>
      <c r="D36" s="84">
        <f>D12+D14+D25+D31</f>
        <v>947681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45486</v>
      </c>
      <c r="D37" s="24">
        <f>D38+D39+D40+D48+D50+D56+D57+D55</f>
        <v>45996</v>
      </c>
      <c r="E37" s="13">
        <f t="shared" si="0"/>
        <v>510</v>
      </c>
      <c r="F37" s="104">
        <f t="shared" si="1"/>
        <v>1.0112</v>
      </c>
      <c r="H37" s="99"/>
    </row>
    <row r="38" spans="1:8" ht="28.5" customHeight="1">
      <c r="A38" s="31" t="s">
        <v>17</v>
      </c>
      <c r="B38" s="40" t="s">
        <v>18</v>
      </c>
      <c r="C38" s="81">
        <v>2328</v>
      </c>
      <c r="D38" s="85">
        <f>C38</f>
        <v>2328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8055</v>
      </c>
      <c r="D39" s="85">
        <f>C39</f>
        <v>8055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397</v>
      </c>
      <c r="D40" s="85">
        <f>D41+D43+D44+D45+D46+D47</f>
        <v>397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46</v>
      </c>
      <c r="D41" s="85">
        <f>C41</f>
        <v>46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46</v>
      </c>
      <c r="D42" s="85">
        <f aca="true" t="shared" si="3" ref="D42:D61">C42</f>
        <v>46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115</v>
      </c>
      <c r="D43" s="85">
        <f t="shared" si="3"/>
        <v>115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230</v>
      </c>
      <c r="D46" s="85">
        <f t="shared" si="3"/>
        <v>230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6</v>
      </c>
      <c r="D47" s="85">
        <f>C47</f>
        <v>6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22159</v>
      </c>
      <c r="D48" s="85">
        <f>C48+425</f>
        <v>22584</v>
      </c>
      <c r="E48" s="101">
        <f t="shared" si="0"/>
        <v>425</v>
      </c>
      <c r="F48" s="102">
        <f t="shared" si="1"/>
        <v>1.0192</v>
      </c>
      <c r="H48" s="99"/>
    </row>
    <row r="49" spans="1:8" ht="28.5" customHeight="1">
      <c r="A49" s="42" t="s">
        <v>187</v>
      </c>
      <c r="B49" s="43" t="s">
        <v>188</v>
      </c>
      <c r="C49" s="81">
        <v>123</v>
      </c>
      <c r="D49" s="85">
        <f>C49</f>
        <v>123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4908</v>
      </c>
      <c r="D50" s="85">
        <f>D51+D52+D53+D54</f>
        <v>4993</v>
      </c>
      <c r="E50" s="101">
        <f t="shared" si="0"/>
        <v>85</v>
      </c>
      <c r="F50" s="102">
        <f t="shared" si="1"/>
        <v>1.0173</v>
      </c>
      <c r="H50" s="99"/>
    </row>
    <row r="51" spans="1:8" ht="28.5" customHeight="1">
      <c r="A51" s="42" t="s">
        <v>51</v>
      </c>
      <c r="B51" s="43" t="s">
        <v>47</v>
      </c>
      <c r="C51" s="85">
        <v>3809</v>
      </c>
      <c r="D51" s="85">
        <f>C51+74</f>
        <v>3883</v>
      </c>
      <c r="E51" s="101">
        <f t="shared" si="0"/>
        <v>74</v>
      </c>
      <c r="F51" s="102">
        <f t="shared" si="1"/>
        <v>1.0194</v>
      </c>
      <c r="H51" s="99"/>
    </row>
    <row r="52" spans="1:8" ht="28.5" customHeight="1">
      <c r="A52" s="42" t="s">
        <v>52</v>
      </c>
      <c r="B52" s="43" t="s">
        <v>48</v>
      </c>
      <c r="C52" s="85">
        <v>443</v>
      </c>
      <c r="D52" s="85">
        <f>C52+11</f>
        <v>454</v>
      </c>
      <c r="E52" s="101">
        <f t="shared" si="0"/>
        <v>11</v>
      </c>
      <c r="F52" s="102">
        <f t="shared" si="1"/>
        <v>1.0248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656</v>
      </c>
      <c r="D54" s="85">
        <f t="shared" si="3"/>
        <v>656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7113</v>
      </c>
      <c r="D56" s="85">
        <f>C56</f>
        <v>7113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526</v>
      </c>
      <c r="D57" s="85">
        <f>C57</f>
        <v>526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23600</v>
      </c>
      <c r="D58" s="27">
        <f>D59+D60+D61+D62</f>
        <v>23600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100</v>
      </c>
      <c r="D59" s="85">
        <f t="shared" si="3"/>
        <v>100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20000</v>
      </c>
      <c r="D60" s="85">
        <f t="shared" si="3"/>
        <v>20000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3500</v>
      </c>
      <c r="D62" s="85">
        <f>C62</f>
        <v>3500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3200</v>
      </c>
      <c r="D63" s="27">
        <f>C63</f>
        <v>3200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78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2786282</v>
      </c>
      <c r="D7" s="16">
        <f>D8+D9+D10+D15+D16+D17+D18+D19+D20+D21+D22+D23+D24+D25+D29+D30+D32+D33</f>
        <v>2786282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339385</v>
      </c>
      <c r="D8" s="25">
        <f aca="true" t="shared" si="0" ref="D8:D19">C8</f>
        <v>339385</v>
      </c>
      <c r="E8" s="101" t="str">
        <f aca="true" t="shared" si="1" ref="E8:E63">IF(C8=D8,"-",D8-C8)</f>
        <v>-</v>
      </c>
      <c r="F8" s="102">
        <f aca="true" t="shared" si="2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226284</v>
      </c>
      <c r="D9" s="25">
        <f t="shared" si="0"/>
        <v>226284</v>
      </c>
      <c r="E9" s="101" t="str">
        <f t="shared" si="1"/>
        <v>-</v>
      </c>
      <c r="F9" s="102">
        <f t="shared" si="2"/>
        <v>1</v>
      </c>
      <c r="H9" s="99"/>
    </row>
    <row r="10" spans="1:8" ht="33" customHeight="1">
      <c r="A10" s="29" t="s">
        <v>3</v>
      </c>
      <c r="B10" s="78" t="s">
        <v>136</v>
      </c>
      <c r="C10" s="81">
        <v>1373505</v>
      </c>
      <c r="D10" s="25">
        <f t="shared" si="0"/>
        <v>1373505</v>
      </c>
      <c r="E10" s="101" t="str">
        <f t="shared" si="1"/>
        <v>-</v>
      </c>
      <c r="F10" s="102">
        <f t="shared" si="2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82100</v>
      </c>
      <c r="D11" s="25">
        <f t="shared" si="0"/>
        <v>82100</v>
      </c>
      <c r="E11" s="101" t="str">
        <f t="shared" si="1"/>
        <v>-</v>
      </c>
      <c r="F11" s="102">
        <f t="shared" si="2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73100</v>
      </c>
      <c r="D12" s="25">
        <f t="shared" si="0"/>
        <v>73100</v>
      </c>
      <c r="E12" s="101" t="str">
        <f t="shared" si="1"/>
        <v>-</v>
      </c>
      <c r="F12" s="102">
        <f t="shared" si="2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55000</v>
      </c>
      <c r="D13" s="25">
        <f t="shared" si="0"/>
        <v>55000</v>
      </c>
      <c r="E13" s="101" t="str">
        <f t="shared" si="1"/>
        <v>-</v>
      </c>
      <c r="F13" s="102">
        <f t="shared" si="2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23000</v>
      </c>
      <c r="D14" s="25">
        <f t="shared" si="0"/>
        <v>23000</v>
      </c>
      <c r="E14" s="101" t="str">
        <f t="shared" si="1"/>
        <v>-</v>
      </c>
      <c r="F14" s="102">
        <f t="shared" si="2"/>
        <v>1</v>
      </c>
      <c r="H14" s="99"/>
    </row>
    <row r="15" spans="1:8" ht="33" customHeight="1">
      <c r="A15" s="29" t="s">
        <v>4</v>
      </c>
      <c r="B15" s="78" t="s">
        <v>144</v>
      </c>
      <c r="C15" s="81">
        <v>92139</v>
      </c>
      <c r="D15" s="25">
        <f t="shared" si="0"/>
        <v>92139</v>
      </c>
      <c r="E15" s="101" t="str">
        <f t="shared" si="1"/>
        <v>-</v>
      </c>
      <c r="F15" s="102">
        <f t="shared" si="2"/>
        <v>1</v>
      </c>
      <c r="H15" s="99"/>
    </row>
    <row r="16" spans="1:8" ht="33" customHeight="1">
      <c r="A16" s="29" t="s">
        <v>5</v>
      </c>
      <c r="B16" s="78" t="s">
        <v>140</v>
      </c>
      <c r="C16" s="81">
        <v>72300</v>
      </c>
      <c r="D16" s="25">
        <f t="shared" si="0"/>
        <v>72300</v>
      </c>
      <c r="E16" s="101" t="str">
        <f t="shared" si="1"/>
        <v>-</v>
      </c>
      <c r="F16" s="102">
        <f t="shared" si="2"/>
        <v>1</v>
      </c>
      <c r="H16" s="99"/>
    </row>
    <row r="17" spans="1:8" ht="33" customHeight="1">
      <c r="A17" s="29" t="s">
        <v>6</v>
      </c>
      <c r="B17" s="78" t="s">
        <v>146</v>
      </c>
      <c r="C17" s="81">
        <v>36334</v>
      </c>
      <c r="D17" s="25">
        <f t="shared" si="0"/>
        <v>36334</v>
      </c>
      <c r="E17" s="101" t="str">
        <f t="shared" si="1"/>
        <v>-</v>
      </c>
      <c r="F17" s="102">
        <f t="shared" si="2"/>
        <v>1</v>
      </c>
      <c r="H17" s="99"/>
    </row>
    <row r="18" spans="1:8" ht="33" customHeight="1">
      <c r="A18" s="29" t="s">
        <v>7</v>
      </c>
      <c r="B18" s="78" t="s">
        <v>145</v>
      </c>
      <c r="C18" s="81">
        <v>9767</v>
      </c>
      <c r="D18" s="25">
        <f t="shared" si="0"/>
        <v>9767</v>
      </c>
      <c r="E18" s="101" t="str">
        <f t="shared" si="1"/>
        <v>-</v>
      </c>
      <c r="F18" s="102">
        <f t="shared" si="2"/>
        <v>1</v>
      </c>
      <c r="H18" s="99"/>
    </row>
    <row r="19" spans="1:8" ht="33" customHeight="1">
      <c r="A19" s="29" t="s">
        <v>8</v>
      </c>
      <c r="B19" s="78" t="s">
        <v>141</v>
      </c>
      <c r="C19" s="81">
        <v>90627</v>
      </c>
      <c r="D19" s="25">
        <f t="shared" si="0"/>
        <v>90627</v>
      </c>
      <c r="E19" s="101" t="str">
        <f t="shared" si="1"/>
        <v>-</v>
      </c>
      <c r="F19" s="102">
        <f t="shared" si="2"/>
        <v>1</v>
      </c>
      <c r="H19" s="99"/>
    </row>
    <row r="20" spans="1:8" ht="33" customHeight="1">
      <c r="A20" s="29" t="s">
        <v>9</v>
      </c>
      <c r="B20" s="78" t="s">
        <v>142</v>
      </c>
      <c r="C20" s="81">
        <v>21100</v>
      </c>
      <c r="D20" s="25">
        <f aca="true" t="shared" si="3" ref="D20:D34">C20</f>
        <v>21100</v>
      </c>
      <c r="E20" s="101" t="str">
        <f t="shared" si="1"/>
        <v>-</v>
      </c>
      <c r="F20" s="102">
        <f t="shared" si="2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2400</v>
      </c>
      <c r="D21" s="25">
        <f t="shared" si="3"/>
        <v>2400</v>
      </c>
      <c r="E21" s="101" t="str">
        <f t="shared" si="1"/>
        <v>-</v>
      </c>
      <c r="F21" s="102">
        <f t="shared" si="2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9487</v>
      </c>
      <c r="D22" s="25">
        <f>C22</f>
        <v>9487</v>
      </c>
      <c r="E22" s="101" t="str">
        <f t="shared" si="1"/>
        <v>-</v>
      </c>
      <c r="F22" s="102">
        <f t="shared" si="2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77845</v>
      </c>
      <c r="D23" s="25">
        <f>C23</f>
        <v>77845</v>
      </c>
      <c r="E23" s="101" t="str">
        <f t="shared" si="1"/>
        <v>-</v>
      </c>
      <c r="F23" s="102">
        <f t="shared" si="2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35373</v>
      </c>
      <c r="D24" s="25">
        <f t="shared" si="3"/>
        <v>35373</v>
      </c>
      <c r="E24" s="101" t="str">
        <f t="shared" si="1"/>
        <v>-</v>
      </c>
      <c r="F24" s="102">
        <f t="shared" si="2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388081</v>
      </c>
      <c r="D25" s="81">
        <f>SUM(D26:D28)</f>
        <v>388081</v>
      </c>
      <c r="E25" s="101" t="str">
        <f t="shared" si="1"/>
        <v>-</v>
      </c>
      <c r="F25" s="102">
        <f t="shared" si="2"/>
        <v>1</v>
      </c>
      <c r="H25" s="99"/>
    </row>
    <row r="26" spans="1:8" ht="31.5">
      <c r="A26" s="28" t="s">
        <v>148</v>
      </c>
      <c r="B26" s="90" t="s">
        <v>178</v>
      </c>
      <c r="C26" s="81">
        <v>387221</v>
      </c>
      <c r="D26" s="25">
        <f t="shared" si="3"/>
        <v>387221</v>
      </c>
      <c r="E26" s="101" t="str">
        <f t="shared" si="1"/>
        <v>-</v>
      </c>
      <c r="F26" s="102">
        <f t="shared" si="2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476</v>
      </c>
      <c r="D27" s="25">
        <f t="shared" si="3"/>
        <v>476</v>
      </c>
      <c r="E27" s="101" t="str">
        <f t="shared" si="1"/>
        <v>-</v>
      </c>
      <c r="F27" s="102">
        <f t="shared" si="2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384</v>
      </c>
      <c r="D28" s="25">
        <f t="shared" si="3"/>
        <v>384</v>
      </c>
      <c r="E28" s="101" t="str">
        <f t="shared" si="1"/>
        <v>-</v>
      </c>
      <c r="F28" s="102">
        <f t="shared" si="2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3"/>
        <v>0</v>
      </c>
      <c r="E29" s="101" t="str">
        <f t="shared" si="1"/>
        <v>-</v>
      </c>
      <c r="F29" s="102" t="str">
        <f t="shared" si="2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3"/>
        <v>0</v>
      </c>
      <c r="E30" s="101" t="str">
        <f t="shared" si="1"/>
        <v>-</v>
      </c>
      <c r="F30" s="102" t="str">
        <f t="shared" si="2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3"/>
        <v>0</v>
      </c>
      <c r="E31" s="101" t="str">
        <f t="shared" si="1"/>
        <v>-</v>
      </c>
      <c r="F31" s="102" t="str">
        <f t="shared" si="2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>C32</f>
        <v>0</v>
      </c>
      <c r="E32" s="101" t="str">
        <f t="shared" si="1"/>
        <v>-</v>
      </c>
      <c r="F32" s="102" t="str">
        <f t="shared" si="2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11655</v>
      </c>
      <c r="D33" s="25">
        <f>C33</f>
        <v>11655</v>
      </c>
      <c r="E33" s="101" t="str">
        <f t="shared" si="1"/>
        <v>-</v>
      </c>
      <c r="F33" s="102">
        <f t="shared" si="2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 t="shared" si="3"/>
        <v>0</v>
      </c>
      <c r="E34" s="15" t="str">
        <f t="shared" si="1"/>
        <v>-</v>
      </c>
      <c r="F34" s="103" t="str">
        <f t="shared" si="2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100029</v>
      </c>
      <c r="D35" s="96">
        <f>C35</f>
        <v>100029</v>
      </c>
      <c r="E35" s="15" t="str">
        <f t="shared" si="1"/>
        <v>-</v>
      </c>
      <c r="F35" s="103">
        <f t="shared" si="2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484181</v>
      </c>
      <c r="D36" s="84">
        <f>D12+D14+D25+D31</f>
        <v>484181</v>
      </c>
      <c r="E36" s="15" t="str">
        <f t="shared" si="1"/>
        <v>-</v>
      </c>
      <c r="F36" s="103">
        <f t="shared" si="2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19787</v>
      </c>
      <c r="D37" s="24">
        <f>D38+D39+D40+D48+D50+D56+D57+D55</f>
        <v>19994</v>
      </c>
      <c r="E37" s="13">
        <f t="shared" si="1"/>
        <v>207</v>
      </c>
      <c r="F37" s="104">
        <f t="shared" si="2"/>
        <v>1.0105</v>
      </c>
      <c r="H37" s="99"/>
    </row>
    <row r="38" spans="1:8" ht="28.5" customHeight="1">
      <c r="A38" s="31" t="s">
        <v>17</v>
      </c>
      <c r="B38" s="40" t="s">
        <v>18</v>
      </c>
      <c r="C38" s="81">
        <v>931</v>
      </c>
      <c r="D38" s="85">
        <f>C38</f>
        <v>931</v>
      </c>
      <c r="E38" s="101" t="str">
        <f t="shared" si="1"/>
        <v>-</v>
      </c>
      <c r="F38" s="102">
        <f t="shared" si="2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2350</v>
      </c>
      <c r="D39" s="85">
        <f>C39</f>
        <v>2350</v>
      </c>
      <c r="E39" s="101" t="str">
        <f t="shared" si="1"/>
        <v>-</v>
      </c>
      <c r="F39" s="102">
        <f t="shared" si="2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233</v>
      </c>
      <c r="D40" s="85">
        <f>D41+D43+D44+D45+D46+D47</f>
        <v>233</v>
      </c>
      <c r="E40" s="101" t="str">
        <f t="shared" si="1"/>
        <v>-</v>
      </c>
      <c r="F40" s="102">
        <f t="shared" si="2"/>
        <v>1</v>
      </c>
      <c r="H40" s="99"/>
    </row>
    <row r="41" spans="1:8" ht="23.25" customHeight="1">
      <c r="A41" s="42" t="s">
        <v>40</v>
      </c>
      <c r="B41" s="43" t="s">
        <v>33</v>
      </c>
      <c r="C41" s="81">
        <v>27</v>
      </c>
      <c r="D41" s="85">
        <f>C41</f>
        <v>27</v>
      </c>
      <c r="E41" s="101" t="str">
        <f t="shared" si="1"/>
        <v>-</v>
      </c>
      <c r="F41" s="102">
        <f t="shared" si="2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27</v>
      </c>
      <c r="D42" s="85">
        <f aca="true" t="shared" si="4" ref="D42:D61">C42</f>
        <v>27</v>
      </c>
      <c r="E42" s="101" t="str">
        <f t="shared" si="1"/>
        <v>-</v>
      </c>
      <c r="F42" s="102">
        <f t="shared" si="2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6</v>
      </c>
      <c r="D43" s="85">
        <f t="shared" si="4"/>
        <v>6</v>
      </c>
      <c r="E43" s="101" t="str">
        <f t="shared" si="1"/>
        <v>-</v>
      </c>
      <c r="F43" s="102">
        <f t="shared" si="2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4"/>
        <v>0</v>
      </c>
      <c r="E44" s="101" t="str">
        <f t="shared" si="1"/>
        <v>-</v>
      </c>
      <c r="F44" s="102" t="str">
        <f t="shared" si="2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4"/>
        <v>0</v>
      </c>
      <c r="E45" s="101" t="str">
        <f t="shared" si="1"/>
        <v>-</v>
      </c>
      <c r="F45" s="102" t="str">
        <f t="shared" si="2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178</v>
      </c>
      <c r="D46" s="85">
        <f t="shared" si="4"/>
        <v>178</v>
      </c>
      <c r="E46" s="101" t="str">
        <f t="shared" si="1"/>
        <v>-</v>
      </c>
      <c r="F46" s="102">
        <f t="shared" si="2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22</v>
      </c>
      <c r="D47" s="85">
        <f>C47</f>
        <v>22</v>
      </c>
      <c r="E47" s="101" t="str">
        <f t="shared" si="1"/>
        <v>-</v>
      </c>
      <c r="F47" s="102">
        <f t="shared" si="2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12350</v>
      </c>
      <c r="D48" s="85">
        <f>C48+173</f>
        <v>12523</v>
      </c>
      <c r="E48" s="101">
        <f t="shared" si="1"/>
        <v>173</v>
      </c>
      <c r="F48" s="102">
        <f t="shared" si="2"/>
        <v>1.014</v>
      </c>
      <c r="H48" s="99"/>
    </row>
    <row r="49" spans="1:8" ht="28.5" customHeight="1">
      <c r="A49" s="42" t="s">
        <v>187</v>
      </c>
      <c r="B49" s="43" t="s">
        <v>188</v>
      </c>
      <c r="C49" s="81">
        <v>50</v>
      </c>
      <c r="D49" s="85">
        <f>C49</f>
        <v>50</v>
      </c>
      <c r="E49" s="101" t="str">
        <f t="shared" si="1"/>
        <v>-</v>
      </c>
      <c r="F49" s="102">
        <f t="shared" si="2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2744</v>
      </c>
      <c r="D50" s="85">
        <f>D51+D52+D53+D54</f>
        <v>2778</v>
      </c>
      <c r="E50" s="101">
        <f t="shared" si="1"/>
        <v>34</v>
      </c>
      <c r="F50" s="102">
        <f t="shared" si="2"/>
        <v>1.0124</v>
      </c>
      <c r="H50" s="99"/>
    </row>
    <row r="51" spans="1:8" ht="28.5" customHeight="1">
      <c r="A51" s="42" t="s">
        <v>51</v>
      </c>
      <c r="B51" s="43" t="s">
        <v>47</v>
      </c>
      <c r="C51" s="85">
        <v>2123</v>
      </c>
      <c r="D51" s="85">
        <f>C51+30</f>
        <v>2153</v>
      </c>
      <c r="E51" s="101">
        <f t="shared" si="1"/>
        <v>30</v>
      </c>
      <c r="F51" s="102">
        <f t="shared" si="2"/>
        <v>1.0141</v>
      </c>
      <c r="H51" s="99"/>
    </row>
    <row r="52" spans="1:8" ht="28.5" customHeight="1">
      <c r="A52" s="42" t="s">
        <v>52</v>
      </c>
      <c r="B52" s="43" t="s">
        <v>48</v>
      </c>
      <c r="C52" s="85">
        <v>302</v>
      </c>
      <c r="D52" s="85">
        <f>C52+4</f>
        <v>306</v>
      </c>
      <c r="E52" s="101">
        <f t="shared" si="1"/>
        <v>4</v>
      </c>
      <c r="F52" s="102">
        <f t="shared" si="2"/>
        <v>1.0132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4"/>
        <v>0</v>
      </c>
      <c r="E53" s="101" t="str">
        <f t="shared" si="1"/>
        <v>-</v>
      </c>
      <c r="F53" s="102" t="str">
        <f t="shared" si="2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319</v>
      </c>
      <c r="D54" s="85">
        <f t="shared" si="4"/>
        <v>319</v>
      </c>
      <c r="E54" s="101" t="str">
        <f t="shared" si="1"/>
        <v>-</v>
      </c>
      <c r="F54" s="102">
        <f t="shared" si="2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1"/>
        <v>-</v>
      </c>
      <c r="F55" s="102" t="str">
        <f t="shared" si="2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977</v>
      </c>
      <c r="D56" s="85">
        <f>C56</f>
        <v>977</v>
      </c>
      <c r="E56" s="101" t="str">
        <f t="shared" si="1"/>
        <v>-</v>
      </c>
      <c r="F56" s="105">
        <f t="shared" si="2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202</v>
      </c>
      <c r="D57" s="85">
        <f>C57</f>
        <v>202</v>
      </c>
      <c r="E57" s="101" t="str">
        <f t="shared" si="1"/>
        <v>-</v>
      </c>
      <c r="F57" s="102">
        <f t="shared" si="2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876</v>
      </c>
      <c r="D58" s="27">
        <f>D59+D60+D61+D62</f>
        <v>876</v>
      </c>
      <c r="E58" s="13" t="str">
        <f t="shared" si="1"/>
        <v>-</v>
      </c>
      <c r="F58" s="106">
        <f t="shared" si="2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27</v>
      </c>
      <c r="D59" s="85">
        <f t="shared" si="4"/>
        <v>27</v>
      </c>
      <c r="E59" s="77" t="str">
        <f t="shared" si="1"/>
        <v>-</v>
      </c>
      <c r="F59" s="102">
        <f t="shared" si="2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668</v>
      </c>
      <c r="D60" s="85">
        <f t="shared" si="4"/>
        <v>668</v>
      </c>
      <c r="E60" s="77" t="str">
        <f t="shared" si="1"/>
        <v>-</v>
      </c>
      <c r="F60" s="102">
        <f t="shared" si="2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4"/>
        <v>0</v>
      </c>
      <c r="E61" s="77" t="str">
        <f t="shared" si="1"/>
        <v>-</v>
      </c>
      <c r="F61" s="102" t="str">
        <f t="shared" si="2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181</v>
      </c>
      <c r="D62" s="85">
        <f>C62</f>
        <v>181</v>
      </c>
      <c r="E62" s="77" t="str">
        <f t="shared" si="1"/>
        <v>-</v>
      </c>
      <c r="F62" s="102">
        <f t="shared" si="2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183</v>
      </c>
      <c r="D63" s="27">
        <f>C63</f>
        <v>183</v>
      </c>
      <c r="E63" s="13" t="str">
        <f t="shared" si="1"/>
        <v>-</v>
      </c>
      <c r="F63" s="106">
        <f t="shared" si="2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201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6">
        <f>C8+C9+C10+C15+C16+C17+C18+C19+C20+C21+C22+C23+C24+C25+C29+C30+C32+C33</f>
        <v>489138</v>
      </c>
      <c r="D7" s="16">
        <f>D8+D9+D10+D15+D16+D17+D18+D19+D20+D21+D22+D23+D24+D25+D29+D30+D32+D33</f>
        <v>489138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35" t="s">
        <v>138</v>
      </c>
      <c r="C8" s="25">
        <v>0</v>
      </c>
      <c r="D8" s="25">
        <f>C8</f>
        <v>0</v>
      </c>
      <c r="E8" s="101" t="str">
        <f aca="true" t="shared" si="0" ref="E8:E63">IF(C8=D8,"-",D8-C8)</f>
        <v>-</v>
      </c>
      <c r="F8" s="102" t="str">
        <f aca="true" t="shared" si="1" ref="F8:F63">IF(C8=0,"-",D8/C8)</f>
        <v>-</v>
      </c>
      <c r="H8" s="99"/>
    </row>
    <row r="9" spans="1:8" ht="33" customHeight="1">
      <c r="A9" s="29" t="s">
        <v>2</v>
      </c>
      <c r="B9" s="35" t="s">
        <v>139</v>
      </c>
      <c r="C9" s="25">
        <v>0</v>
      </c>
      <c r="D9" s="25">
        <f>C9</f>
        <v>0</v>
      </c>
      <c r="E9" s="101" t="str">
        <f t="shared" si="0"/>
        <v>-</v>
      </c>
      <c r="F9" s="102" t="str">
        <f t="shared" si="1"/>
        <v>-</v>
      </c>
      <c r="H9" s="99"/>
    </row>
    <row r="10" spans="1:8" ht="33" customHeight="1">
      <c r="A10" s="29" t="s">
        <v>3</v>
      </c>
      <c r="B10" s="35" t="s">
        <v>136</v>
      </c>
      <c r="C10" s="25">
        <v>0</v>
      </c>
      <c r="D10" s="25">
        <f>C10</f>
        <v>0</v>
      </c>
      <c r="E10" s="101" t="str">
        <f t="shared" si="0"/>
        <v>-</v>
      </c>
      <c r="F10" s="102" t="str">
        <f t="shared" si="1"/>
        <v>-</v>
      </c>
      <c r="H10" s="99"/>
    </row>
    <row r="11" spans="1:8" ht="31.5" customHeight="1">
      <c r="A11" s="28" t="s">
        <v>58</v>
      </c>
      <c r="B11" s="34" t="s">
        <v>167</v>
      </c>
      <c r="C11" s="25">
        <v>0</v>
      </c>
      <c r="D11" s="25">
        <f aca="true" t="shared" si="2" ref="D11:D35">C11</f>
        <v>0</v>
      </c>
      <c r="E11" s="101" t="str">
        <f t="shared" si="0"/>
        <v>-</v>
      </c>
      <c r="F11" s="102" t="str">
        <f t="shared" si="1"/>
        <v>-</v>
      </c>
      <c r="H11" s="99"/>
    </row>
    <row r="12" spans="1:8" ht="31.5" customHeight="1">
      <c r="A12" s="28" t="s">
        <v>168</v>
      </c>
      <c r="B12" s="34" t="s">
        <v>171</v>
      </c>
      <c r="C12" s="25">
        <v>0</v>
      </c>
      <c r="D12" s="25">
        <f t="shared" si="2"/>
        <v>0</v>
      </c>
      <c r="E12" s="101" t="str">
        <f t="shared" si="0"/>
        <v>-</v>
      </c>
      <c r="F12" s="102" t="str">
        <f t="shared" si="1"/>
        <v>-</v>
      </c>
      <c r="H12" s="99"/>
    </row>
    <row r="13" spans="1:8" ht="31.5" customHeight="1">
      <c r="A13" s="28" t="s">
        <v>169</v>
      </c>
      <c r="B13" s="34" t="s">
        <v>172</v>
      </c>
      <c r="C13" s="25">
        <v>0</v>
      </c>
      <c r="D13" s="25">
        <f t="shared" si="2"/>
        <v>0</v>
      </c>
      <c r="E13" s="101" t="str">
        <f t="shared" si="0"/>
        <v>-</v>
      </c>
      <c r="F13" s="102" t="str">
        <f t="shared" si="1"/>
        <v>-</v>
      </c>
      <c r="H13" s="99"/>
    </row>
    <row r="14" spans="1:8" ht="31.5" customHeight="1">
      <c r="A14" s="28" t="s">
        <v>170</v>
      </c>
      <c r="B14" s="34" t="s">
        <v>173</v>
      </c>
      <c r="C14" s="25">
        <v>0</v>
      </c>
      <c r="D14" s="25">
        <f t="shared" si="2"/>
        <v>0</v>
      </c>
      <c r="E14" s="101" t="str">
        <f t="shared" si="0"/>
        <v>-</v>
      </c>
      <c r="F14" s="102" t="str">
        <f t="shared" si="1"/>
        <v>-</v>
      </c>
      <c r="H14" s="99"/>
    </row>
    <row r="15" spans="1:8" ht="33" customHeight="1">
      <c r="A15" s="29" t="s">
        <v>4</v>
      </c>
      <c r="B15" s="35" t="s">
        <v>144</v>
      </c>
      <c r="C15" s="25">
        <v>0</v>
      </c>
      <c r="D15" s="25">
        <f t="shared" si="2"/>
        <v>0</v>
      </c>
      <c r="E15" s="101" t="str">
        <f t="shared" si="0"/>
        <v>-</v>
      </c>
      <c r="F15" s="102" t="str">
        <f t="shared" si="1"/>
        <v>-</v>
      </c>
      <c r="H15" s="99"/>
    </row>
    <row r="16" spans="1:8" ht="33" customHeight="1">
      <c r="A16" s="29" t="s">
        <v>5</v>
      </c>
      <c r="B16" s="35" t="s">
        <v>140</v>
      </c>
      <c r="C16" s="25">
        <v>0</v>
      </c>
      <c r="D16" s="25">
        <f t="shared" si="2"/>
        <v>0</v>
      </c>
      <c r="E16" s="101" t="str">
        <f t="shared" si="0"/>
        <v>-</v>
      </c>
      <c r="F16" s="102" t="str">
        <f t="shared" si="1"/>
        <v>-</v>
      </c>
      <c r="H16" s="99"/>
    </row>
    <row r="17" spans="1:8" ht="33" customHeight="1">
      <c r="A17" s="29" t="s">
        <v>6</v>
      </c>
      <c r="B17" s="35" t="s">
        <v>146</v>
      </c>
      <c r="C17" s="25">
        <v>0</v>
      </c>
      <c r="D17" s="25">
        <f t="shared" si="2"/>
        <v>0</v>
      </c>
      <c r="E17" s="101" t="str">
        <f t="shared" si="0"/>
        <v>-</v>
      </c>
      <c r="F17" s="102" t="str">
        <f t="shared" si="1"/>
        <v>-</v>
      </c>
      <c r="H17" s="99"/>
    </row>
    <row r="18" spans="1:8" ht="33" customHeight="1">
      <c r="A18" s="29" t="s">
        <v>7</v>
      </c>
      <c r="B18" s="35" t="s">
        <v>145</v>
      </c>
      <c r="C18" s="25">
        <v>0</v>
      </c>
      <c r="D18" s="25">
        <f t="shared" si="2"/>
        <v>0</v>
      </c>
      <c r="E18" s="101" t="str">
        <f t="shared" si="0"/>
        <v>-</v>
      </c>
      <c r="F18" s="102" t="str">
        <f t="shared" si="1"/>
        <v>-</v>
      </c>
      <c r="H18" s="99"/>
    </row>
    <row r="19" spans="1:8" ht="33" customHeight="1">
      <c r="A19" s="29" t="s">
        <v>8</v>
      </c>
      <c r="B19" s="35" t="s">
        <v>141</v>
      </c>
      <c r="C19" s="25">
        <v>0</v>
      </c>
      <c r="D19" s="25">
        <f t="shared" si="2"/>
        <v>0</v>
      </c>
      <c r="E19" s="101" t="str">
        <f t="shared" si="0"/>
        <v>-</v>
      </c>
      <c r="F19" s="102" t="str">
        <f t="shared" si="1"/>
        <v>-</v>
      </c>
      <c r="H19" s="99"/>
    </row>
    <row r="20" spans="1:8" ht="33" customHeight="1">
      <c r="A20" s="29" t="s">
        <v>9</v>
      </c>
      <c r="B20" s="35" t="s">
        <v>142</v>
      </c>
      <c r="C20" s="25">
        <v>0</v>
      </c>
      <c r="D20" s="25">
        <f t="shared" si="2"/>
        <v>0</v>
      </c>
      <c r="E20" s="101" t="str">
        <f t="shared" si="0"/>
        <v>-</v>
      </c>
      <c r="F20" s="102" t="str">
        <f t="shared" si="1"/>
        <v>-</v>
      </c>
      <c r="H20" s="99"/>
    </row>
    <row r="21" spans="1:8" ht="33" customHeight="1">
      <c r="A21" s="29" t="s">
        <v>10</v>
      </c>
      <c r="B21" s="35" t="s">
        <v>147</v>
      </c>
      <c r="C21" s="25">
        <v>0</v>
      </c>
      <c r="D21" s="25">
        <f t="shared" si="2"/>
        <v>0</v>
      </c>
      <c r="E21" s="101" t="str">
        <f t="shared" si="0"/>
        <v>-</v>
      </c>
      <c r="F21" s="102" t="str">
        <f t="shared" si="1"/>
        <v>-</v>
      </c>
      <c r="H21" s="99"/>
    </row>
    <row r="22" spans="1:8" ht="46.5" customHeight="1">
      <c r="A22" s="29" t="s">
        <v>11</v>
      </c>
      <c r="B22" s="35" t="s">
        <v>143</v>
      </c>
      <c r="C22" s="25">
        <v>0</v>
      </c>
      <c r="D22" s="25">
        <f t="shared" si="2"/>
        <v>0</v>
      </c>
      <c r="E22" s="101" t="str">
        <f t="shared" si="0"/>
        <v>-</v>
      </c>
      <c r="F22" s="102" t="str">
        <f t="shared" si="1"/>
        <v>-</v>
      </c>
      <c r="H22" s="99"/>
    </row>
    <row r="23" spans="1:8" ht="33" customHeight="1">
      <c r="A23" s="29" t="s">
        <v>12</v>
      </c>
      <c r="B23" s="35" t="s">
        <v>197</v>
      </c>
      <c r="C23" s="25">
        <v>0</v>
      </c>
      <c r="D23" s="25">
        <f t="shared" si="2"/>
        <v>0</v>
      </c>
      <c r="E23" s="101" t="str">
        <f t="shared" si="0"/>
        <v>-</v>
      </c>
      <c r="F23" s="102" t="str">
        <f t="shared" si="1"/>
        <v>-</v>
      </c>
      <c r="H23" s="99"/>
    </row>
    <row r="24" spans="1:8" ht="33" customHeight="1">
      <c r="A24" s="29" t="s">
        <v>13</v>
      </c>
      <c r="B24" s="35" t="s">
        <v>175</v>
      </c>
      <c r="C24" s="25">
        <v>0</v>
      </c>
      <c r="D24" s="25">
        <f t="shared" si="2"/>
        <v>0</v>
      </c>
      <c r="E24" s="101" t="str">
        <f t="shared" si="0"/>
        <v>-</v>
      </c>
      <c r="F24" s="102" t="str">
        <f t="shared" si="1"/>
        <v>-</v>
      </c>
      <c r="H24" s="99"/>
    </row>
    <row r="25" spans="1:8" ht="33" customHeight="1">
      <c r="A25" s="30" t="s">
        <v>14</v>
      </c>
      <c r="B25" s="78" t="s">
        <v>176</v>
      </c>
      <c r="C25" s="25">
        <v>0</v>
      </c>
      <c r="D25" s="25">
        <f>C25</f>
        <v>0</v>
      </c>
      <c r="E25" s="101" t="str">
        <f t="shared" si="0"/>
        <v>-</v>
      </c>
      <c r="F25" s="102" t="str">
        <f t="shared" si="1"/>
        <v>-</v>
      </c>
      <c r="H25" s="99"/>
    </row>
    <row r="26" spans="1:8" ht="31.5">
      <c r="A26" s="28" t="s">
        <v>148</v>
      </c>
      <c r="B26" s="34" t="s">
        <v>178</v>
      </c>
      <c r="C26" s="25">
        <v>0</v>
      </c>
      <c r="D26" s="25">
        <f t="shared" si="2"/>
        <v>0</v>
      </c>
      <c r="E26" s="101" t="str">
        <f t="shared" si="0"/>
        <v>-</v>
      </c>
      <c r="F26" s="102" t="str">
        <f t="shared" si="1"/>
        <v>-</v>
      </c>
      <c r="H26" s="99"/>
    </row>
    <row r="27" spans="1:8" ht="31.5" customHeight="1">
      <c r="A27" s="28" t="s">
        <v>177</v>
      </c>
      <c r="B27" s="34" t="s">
        <v>180</v>
      </c>
      <c r="C27" s="25">
        <v>0</v>
      </c>
      <c r="D27" s="25">
        <f t="shared" si="2"/>
        <v>0</v>
      </c>
      <c r="E27" s="101" t="str">
        <f t="shared" si="0"/>
        <v>-</v>
      </c>
      <c r="F27" s="102" t="str">
        <f t="shared" si="1"/>
        <v>-</v>
      </c>
      <c r="H27" s="99"/>
    </row>
    <row r="28" spans="1:8" ht="31.5" customHeight="1">
      <c r="A28" s="28" t="s">
        <v>181</v>
      </c>
      <c r="B28" s="34" t="s">
        <v>179</v>
      </c>
      <c r="C28" s="25">
        <v>0</v>
      </c>
      <c r="D28" s="25">
        <f t="shared" si="2"/>
        <v>0</v>
      </c>
      <c r="E28" s="101" t="str">
        <f t="shared" si="0"/>
        <v>-</v>
      </c>
      <c r="F28" s="102" t="str">
        <f t="shared" si="1"/>
        <v>-</v>
      </c>
      <c r="H28" s="99"/>
    </row>
    <row r="29" spans="1:8" ht="33" customHeight="1">
      <c r="A29" s="31" t="s">
        <v>15</v>
      </c>
      <c r="B29" s="36" t="s">
        <v>124</v>
      </c>
      <c r="C29" s="25">
        <v>482270</v>
      </c>
      <c r="D29" s="25">
        <f t="shared" si="2"/>
        <v>482270</v>
      </c>
      <c r="E29" s="101" t="str">
        <f t="shared" si="0"/>
        <v>-</v>
      </c>
      <c r="F29" s="102">
        <f t="shared" si="1"/>
        <v>1</v>
      </c>
      <c r="H29" s="99"/>
    </row>
    <row r="30" spans="1:8" ht="33" customHeight="1">
      <c r="A30" s="31" t="s">
        <v>121</v>
      </c>
      <c r="B30" s="37" t="s">
        <v>182</v>
      </c>
      <c r="C30" s="25">
        <v>6868</v>
      </c>
      <c r="D30" s="25">
        <f t="shared" si="2"/>
        <v>6868</v>
      </c>
      <c r="E30" s="101" t="str">
        <f t="shared" si="0"/>
        <v>-</v>
      </c>
      <c r="F30" s="102">
        <f t="shared" si="1"/>
        <v>1</v>
      </c>
      <c r="H30" s="99"/>
    </row>
    <row r="31" spans="1:8" ht="31.5" customHeight="1">
      <c r="A31" s="28" t="s">
        <v>183</v>
      </c>
      <c r="B31" s="34" t="s">
        <v>199</v>
      </c>
      <c r="C31" s="25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25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37" t="s">
        <v>198</v>
      </c>
      <c r="C33" s="25">
        <v>0</v>
      </c>
      <c r="D33" s="25">
        <f t="shared" si="2"/>
        <v>0</v>
      </c>
      <c r="E33" s="101" t="str">
        <f t="shared" si="0"/>
        <v>-</v>
      </c>
      <c r="F33" s="102" t="str">
        <f t="shared" si="1"/>
        <v>-</v>
      </c>
      <c r="H33" s="99"/>
    </row>
    <row r="34" spans="1:8" s="5" customFormat="1" ht="31.5" customHeight="1">
      <c r="A34" s="32" t="s">
        <v>60</v>
      </c>
      <c r="B34" s="38" t="s">
        <v>61</v>
      </c>
      <c r="C34" s="95">
        <v>0</v>
      </c>
      <c r="D34" s="95">
        <f t="shared" si="2"/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96">
        <v>0</v>
      </c>
      <c r="D35" s="96">
        <f t="shared" si="2"/>
        <v>0</v>
      </c>
      <c r="E35" s="15" t="str">
        <f t="shared" si="0"/>
        <v>-</v>
      </c>
      <c r="F35" s="103" t="str">
        <f t="shared" si="1"/>
        <v>-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0</v>
      </c>
      <c r="D36" s="84">
        <f>D12+D14+D25+D31</f>
        <v>0</v>
      </c>
      <c r="E36" s="15" t="str">
        <f t="shared" si="0"/>
        <v>-</v>
      </c>
      <c r="F36" s="103" t="str">
        <f t="shared" si="1"/>
        <v>-</v>
      </c>
      <c r="H36" s="99"/>
    </row>
    <row r="37" spans="1:8" s="3" customFormat="1" ht="30" customHeight="1">
      <c r="A37" s="26" t="s">
        <v>16</v>
      </c>
      <c r="B37" s="46" t="s">
        <v>195</v>
      </c>
      <c r="C37" s="24">
        <f>C38+C39+C40+C48+C50+C56+C57+C55</f>
        <v>197642</v>
      </c>
      <c r="D37" s="24">
        <f>D38+D39+D40+D48+D50+D56+D57+D55</f>
        <v>198299</v>
      </c>
      <c r="E37" s="13">
        <f t="shared" si="0"/>
        <v>657</v>
      </c>
      <c r="F37" s="104">
        <f t="shared" si="1"/>
        <v>1.0033</v>
      </c>
      <c r="H37" s="99"/>
    </row>
    <row r="38" spans="1:8" ht="28.5" customHeight="1">
      <c r="A38" s="31" t="s">
        <v>17</v>
      </c>
      <c r="B38" s="40" t="s">
        <v>18</v>
      </c>
      <c r="C38" s="85">
        <v>4863</v>
      </c>
      <c r="D38" s="85">
        <f>C38</f>
        <v>4863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5">
        <v>93029</v>
      </c>
      <c r="D39" s="85">
        <f>C39</f>
        <v>93029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471</v>
      </c>
      <c r="D40" s="85">
        <f>D41+D43+D44+D45+D46+D47</f>
        <v>471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5">
        <v>43</v>
      </c>
      <c r="D41" s="85">
        <f aca="true" t="shared" si="3" ref="D41:D47">C41</f>
        <v>43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5">
        <v>43</v>
      </c>
      <c r="D42" s="85">
        <f t="shared" si="3"/>
        <v>43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5">
        <v>30</v>
      </c>
      <c r="D43" s="85">
        <f t="shared" si="3"/>
        <v>30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5">
        <v>17</v>
      </c>
      <c r="D44" s="85">
        <f t="shared" si="3"/>
        <v>17</v>
      </c>
      <c r="E44" s="101" t="str">
        <f t="shared" si="0"/>
        <v>-</v>
      </c>
      <c r="F44" s="102">
        <f t="shared" si="1"/>
        <v>1</v>
      </c>
      <c r="H44" s="99"/>
    </row>
    <row r="45" spans="1:8" ht="28.5" customHeight="1">
      <c r="A45" s="42" t="s">
        <v>44</v>
      </c>
      <c r="B45" s="43" t="s">
        <v>37</v>
      </c>
      <c r="C45" s="85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5">
        <v>350</v>
      </c>
      <c r="D46" s="85">
        <f t="shared" si="3"/>
        <v>350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5">
        <v>31</v>
      </c>
      <c r="D47" s="85">
        <f t="shared" si="3"/>
        <v>31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5">
        <v>31831</v>
      </c>
      <c r="D48" s="85">
        <f>C48+554</f>
        <v>32385</v>
      </c>
      <c r="E48" s="101">
        <f t="shared" si="0"/>
        <v>554</v>
      </c>
      <c r="F48" s="102">
        <f t="shared" si="1"/>
        <v>1.0174</v>
      </c>
      <c r="H48" s="99"/>
    </row>
    <row r="49" spans="1:8" ht="28.5" customHeight="1">
      <c r="A49" s="42" t="s">
        <v>187</v>
      </c>
      <c r="B49" s="43" t="s">
        <v>188</v>
      </c>
      <c r="C49" s="85">
        <v>291</v>
      </c>
      <c r="D49" s="85">
        <f>C49</f>
        <v>291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8029</v>
      </c>
      <c r="D50" s="85">
        <f>D51+D52+D53+D54</f>
        <v>8132</v>
      </c>
      <c r="E50" s="101">
        <f t="shared" si="0"/>
        <v>103</v>
      </c>
      <c r="F50" s="102">
        <f t="shared" si="1"/>
        <v>1.0128</v>
      </c>
      <c r="H50" s="99"/>
    </row>
    <row r="51" spans="1:8" ht="28.5" customHeight="1">
      <c r="A51" s="42" t="s">
        <v>51</v>
      </c>
      <c r="B51" s="43" t="s">
        <v>47</v>
      </c>
      <c r="C51" s="85">
        <v>5498</v>
      </c>
      <c r="D51" s="85">
        <f>C51+89</f>
        <v>5587</v>
      </c>
      <c r="E51" s="101">
        <f t="shared" si="0"/>
        <v>89</v>
      </c>
      <c r="F51" s="102">
        <f t="shared" si="1"/>
        <v>1.0162</v>
      </c>
      <c r="H51" s="99"/>
    </row>
    <row r="52" spans="1:8" ht="28.5" customHeight="1">
      <c r="A52" s="42" t="s">
        <v>52</v>
      </c>
      <c r="B52" s="43" t="s">
        <v>48</v>
      </c>
      <c r="C52" s="85">
        <v>783</v>
      </c>
      <c r="D52" s="85">
        <f>C52+14</f>
        <v>797</v>
      </c>
      <c r="E52" s="101">
        <f t="shared" si="0"/>
        <v>14</v>
      </c>
      <c r="F52" s="102">
        <f t="shared" si="1"/>
        <v>1.0179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>C53</f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1748</v>
      </c>
      <c r="D54" s="85">
        <f>C54</f>
        <v>1748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5">
        <v>50</v>
      </c>
      <c r="D55" s="85">
        <f>C55</f>
        <v>50</v>
      </c>
      <c r="E55" s="101" t="str">
        <f t="shared" si="0"/>
        <v>-</v>
      </c>
      <c r="F55" s="102">
        <f t="shared" si="1"/>
        <v>1</v>
      </c>
      <c r="H55" s="99"/>
    </row>
    <row r="56" spans="1:8" ht="28.5" customHeight="1">
      <c r="A56" s="31" t="s">
        <v>26</v>
      </c>
      <c r="B56" s="40" t="s">
        <v>189</v>
      </c>
      <c r="C56" s="25">
        <v>57354</v>
      </c>
      <c r="D56" s="85">
        <f>C56</f>
        <v>57354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5">
        <v>2015</v>
      </c>
      <c r="D57" s="85">
        <f>C57</f>
        <v>2015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27">
        <f>C59+C60+C61+C62</f>
        <v>8421</v>
      </c>
      <c r="D58" s="27">
        <f>D59+D60+D61+D62</f>
        <v>2752</v>
      </c>
      <c r="E58" s="13">
        <f t="shared" si="0"/>
        <v>-5669</v>
      </c>
      <c r="F58" s="106">
        <f t="shared" si="1"/>
        <v>0.3268</v>
      </c>
      <c r="H58" s="99"/>
    </row>
    <row r="59" spans="1:8" ht="42" customHeight="1">
      <c r="A59" s="31" t="s">
        <v>104</v>
      </c>
      <c r="B59" s="40" t="s">
        <v>126</v>
      </c>
      <c r="C59" s="85">
        <v>610</v>
      </c>
      <c r="D59" s="85">
        <f>C59</f>
        <v>610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5">
        <v>0</v>
      </c>
      <c r="D60" s="85">
        <f>C60</f>
        <v>0</v>
      </c>
      <c r="E60" s="77" t="str">
        <f t="shared" si="0"/>
        <v>-</v>
      </c>
      <c r="F60" s="102" t="str">
        <f t="shared" si="1"/>
        <v>-</v>
      </c>
      <c r="H60" s="99"/>
    </row>
    <row r="61" spans="1:8" ht="31.5" customHeight="1">
      <c r="A61" s="31" t="s">
        <v>31</v>
      </c>
      <c r="B61" s="40" t="s">
        <v>106</v>
      </c>
      <c r="C61" s="85">
        <v>7514</v>
      </c>
      <c r="D61" s="85">
        <f>C61-5669</f>
        <v>1845</v>
      </c>
      <c r="E61" s="77">
        <f t="shared" si="0"/>
        <v>-5669</v>
      </c>
      <c r="F61" s="102">
        <f t="shared" si="1"/>
        <v>0.2455</v>
      </c>
      <c r="H61" s="99"/>
    </row>
    <row r="62" spans="1:8" ht="31.5" customHeight="1">
      <c r="A62" s="31" t="s">
        <v>105</v>
      </c>
      <c r="B62" s="40" t="s">
        <v>107</v>
      </c>
      <c r="C62" s="85">
        <v>297</v>
      </c>
      <c r="D62" s="85">
        <f>C62</f>
        <v>297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27">
        <v>30182</v>
      </c>
      <c r="D63" s="27">
        <f>C63</f>
        <v>30182</v>
      </c>
      <c r="E63" s="13" t="str">
        <f t="shared" si="0"/>
        <v>-</v>
      </c>
      <c r="F63" s="106">
        <f t="shared" si="1"/>
        <v>1</v>
      </c>
      <c r="H63" s="99"/>
    </row>
    <row r="69" ht="12.75">
      <c r="C69" s="87"/>
    </row>
    <row r="100" ht="12.75">
      <c r="C100" s="2" t="s">
        <v>249</v>
      </c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85"/>
  <sheetViews>
    <sheetView showGridLines="0" zoomScale="55" zoomScaleNormal="5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8" sqref="B68"/>
    </sheetView>
  </sheetViews>
  <sheetFormatPr defaultColWidth="9.00390625" defaultRowHeight="12.75"/>
  <cols>
    <col min="1" max="1" width="12.375" style="0" customWidth="1"/>
    <col min="2" max="2" width="104.625" style="0" customWidth="1"/>
    <col min="3" max="3" width="10.875" style="0" bestFit="1" customWidth="1"/>
    <col min="4" max="20" width="9.75390625" style="0" customWidth="1"/>
  </cols>
  <sheetData>
    <row r="1" spans="1:20" ht="23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48"/>
      <c r="M1" s="48"/>
      <c r="N1" s="48"/>
      <c r="O1" s="48"/>
      <c r="P1" s="48"/>
      <c r="Q1" s="48"/>
      <c r="R1" s="48" t="s">
        <v>207</v>
      </c>
      <c r="S1" s="48"/>
      <c r="T1" s="48"/>
    </row>
    <row r="2" spans="1:20" ht="21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4.75">
      <c r="A3" s="1"/>
      <c r="B3" s="76"/>
      <c r="C3" s="114"/>
      <c r="D3" s="114"/>
      <c r="E3" s="136" t="s">
        <v>208</v>
      </c>
      <c r="F3" s="136" t="s">
        <v>208</v>
      </c>
      <c r="G3" s="136" t="s">
        <v>208</v>
      </c>
      <c r="H3" s="136" t="s">
        <v>208</v>
      </c>
      <c r="I3" s="136" t="s">
        <v>208</v>
      </c>
      <c r="J3" s="136" t="s">
        <v>208</v>
      </c>
      <c r="K3" s="136" t="s">
        <v>208</v>
      </c>
      <c r="L3" s="136" t="s">
        <v>208</v>
      </c>
      <c r="M3" s="136" t="s">
        <v>208</v>
      </c>
      <c r="N3" s="136" t="s">
        <v>208</v>
      </c>
      <c r="O3" s="136" t="s">
        <v>208</v>
      </c>
      <c r="P3" s="136" t="s">
        <v>208</v>
      </c>
      <c r="Q3" s="136" t="s">
        <v>208</v>
      </c>
      <c r="R3" s="136" t="s">
        <v>208</v>
      </c>
      <c r="S3" s="136" t="s">
        <v>208</v>
      </c>
      <c r="T3" s="114" t="s">
        <v>208</v>
      </c>
    </row>
    <row r="4" spans="1:20" ht="144.75">
      <c r="A4" s="115" t="s">
        <v>137</v>
      </c>
      <c r="B4" s="115" t="s">
        <v>56</v>
      </c>
      <c r="C4" s="116" t="s">
        <v>209</v>
      </c>
      <c r="D4" s="116" t="s">
        <v>210</v>
      </c>
      <c r="E4" s="116" t="s">
        <v>211</v>
      </c>
      <c r="F4" s="116" t="s">
        <v>212</v>
      </c>
      <c r="G4" s="117" t="s">
        <v>213</v>
      </c>
      <c r="H4" s="116" t="s">
        <v>214</v>
      </c>
      <c r="I4" s="116" t="s">
        <v>215</v>
      </c>
      <c r="J4" s="116" t="s">
        <v>216</v>
      </c>
      <c r="K4" s="116" t="s">
        <v>217</v>
      </c>
      <c r="L4" s="116" t="s">
        <v>218</v>
      </c>
      <c r="M4" s="116" t="s">
        <v>219</v>
      </c>
      <c r="N4" s="116" t="s">
        <v>220</v>
      </c>
      <c r="O4" s="116" t="s">
        <v>221</v>
      </c>
      <c r="P4" s="116" t="s">
        <v>222</v>
      </c>
      <c r="Q4" s="116" t="s">
        <v>223</v>
      </c>
      <c r="R4" s="116" t="s">
        <v>224</v>
      </c>
      <c r="S4" s="116" t="s">
        <v>225</v>
      </c>
      <c r="T4" s="116" t="s">
        <v>226</v>
      </c>
    </row>
    <row r="5" spans="1:20" ht="12.75">
      <c r="A5" s="118" t="s">
        <v>227</v>
      </c>
      <c r="B5" s="118" t="s">
        <v>228</v>
      </c>
      <c r="C5" s="118" t="s">
        <v>229</v>
      </c>
      <c r="D5" s="118" t="s">
        <v>230</v>
      </c>
      <c r="E5" s="118" t="s">
        <v>231</v>
      </c>
      <c r="F5" s="118" t="s">
        <v>232</v>
      </c>
      <c r="G5" s="118" t="s">
        <v>233</v>
      </c>
      <c r="H5" s="118" t="s">
        <v>234</v>
      </c>
      <c r="I5" s="118" t="s">
        <v>235</v>
      </c>
      <c r="J5" s="118" t="s">
        <v>236</v>
      </c>
      <c r="K5" s="118" t="s">
        <v>237</v>
      </c>
      <c r="L5" s="118" t="s">
        <v>238</v>
      </c>
      <c r="M5" s="118" t="s">
        <v>239</v>
      </c>
      <c r="N5" s="118" t="s">
        <v>240</v>
      </c>
      <c r="O5" s="118" t="s">
        <v>241</v>
      </c>
      <c r="P5" s="118" t="s">
        <v>242</v>
      </c>
      <c r="Q5" s="118" t="s">
        <v>243</v>
      </c>
      <c r="R5" s="118" t="s">
        <v>244</v>
      </c>
      <c r="S5" s="118" t="s">
        <v>245</v>
      </c>
      <c r="T5" s="118" t="s">
        <v>246</v>
      </c>
    </row>
    <row r="6" spans="1:20" ht="22.5" hidden="1">
      <c r="A6" s="119" t="s">
        <v>0</v>
      </c>
      <c r="B6" s="120" t="s">
        <v>247</v>
      </c>
      <c r="C6" s="121" t="str">
        <f>CENTRALA!E7</f>
        <v>-</v>
      </c>
      <c r="D6" s="121">
        <f>D7+D8+D9+D14+D15+D16+D17+D18+D19+D20+D21+D22+D23+D24+D28+D29+D31+D32</f>
        <v>0</v>
      </c>
      <c r="E6" s="121" t="str">
        <f>Dolnośląski!E7</f>
        <v>-</v>
      </c>
      <c r="F6" s="121" t="str">
        <f>KujawskoPomorski!E7</f>
        <v>-</v>
      </c>
      <c r="G6" s="121" t="str">
        <f>Lubelski!E7</f>
        <v>-</v>
      </c>
      <c r="H6" s="121" t="str">
        <f>Lubuski!E7</f>
        <v>-</v>
      </c>
      <c r="I6" s="121" t="str">
        <f>Łódzki!E7</f>
        <v>-</v>
      </c>
      <c r="J6" s="121" t="str">
        <f>Małopolski!E7</f>
        <v>-</v>
      </c>
      <c r="K6" s="121" t="str">
        <f>Mazowiecki!E7</f>
        <v>-</v>
      </c>
      <c r="L6" s="121" t="str">
        <f>Opolski!E7</f>
        <v>-</v>
      </c>
      <c r="M6" s="121" t="str">
        <f>Podkarpacki!E7</f>
        <v>-</v>
      </c>
      <c r="N6" s="121" t="str">
        <f>Podlaski!E7</f>
        <v>-</v>
      </c>
      <c r="O6" s="121" t="str">
        <f>Pomorski!E7</f>
        <v>-</v>
      </c>
      <c r="P6" s="121" t="str">
        <f>Śląski!E7</f>
        <v>-</v>
      </c>
      <c r="Q6" s="121" t="str">
        <f>Świętokrzyski!E7</f>
        <v>-</v>
      </c>
      <c r="R6" s="121" t="str">
        <f>WarmińskoMazurski!E7</f>
        <v>-</v>
      </c>
      <c r="S6" s="121" t="str">
        <f>Wielkopolski!E7</f>
        <v>-</v>
      </c>
      <c r="T6" s="121" t="str">
        <f>Zachodniopomorski!E7</f>
        <v>-</v>
      </c>
    </row>
    <row r="7" spans="1:20" ht="23.25" hidden="1">
      <c r="A7" s="29" t="s">
        <v>1</v>
      </c>
      <c r="B7" s="78" t="s">
        <v>138</v>
      </c>
      <c r="C7" s="123" t="str">
        <f>CENTRALA!E8</f>
        <v>-</v>
      </c>
      <c r="D7" s="122">
        <f>SUM(E7:T7)</f>
        <v>0</v>
      </c>
      <c r="E7" s="123" t="str">
        <f>Dolnośląski!E8</f>
        <v>-</v>
      </c>
      <c r="F7" s="123" t="str">
        <f>KujawskoPomorski!E8</f>
        <v>-</v>
      </c>
      <c r="G7" s="123" t="str">
        <f>Lubelski!E8</f>
        <v>-</v>
      </c>
      <c r="H7" s="123" t="str">
        <f>Lubuski!E8</f>
        <v>-</v>
      </c>
      <c r="I7" s="123" t="str">
        <f>Łódzki!E8</f>
        <v>-</v>
      </c>
      <c r="J7" s="123" t="str">
        <f>Małopolski!E8</f>
        <v>-</v>
      </c>
      <c r="K7" s="123" t="str">
        <f>Mazowiecki!E8</f>
        <v>-</v>
      </c>
      <c r="L7" s="123" t="str">
        <f>Opolski!E8</f>
        <v>-</v>
      </c>
      <c r="M7" s="123" t="str">
        <f>Podkarpacki!E8</f>
        <v>-</v>
      </c>
      <c r="N7" s="123" t="str">
        <f>Podlaski!E8</f>
        <v>-</v>
      </c>
      <c r="O7" s="123" t="str">
        <f>Pomorski!E8</f>
        <v>-</v>
      </c>
      <c r="P7" s="123" t="str">
        <f>Śląski!E8</f>
        <v>-</v>
      </c>
      <c r="Q7" s="123" t="str">
        <f>Świętokrzyski!E8</f>
        <v>-</v>
      </c>
      <c r="R7" s="123" t="str">
        <f>WarmińskoMazurski!E8</f>
        <v>-</v>
      </c>
      <c r="S7" s="123" t="str">
        <f>Wielkopolski!E8</f>
        <v>-</v>
      </c>
      <c r="T7" s="123" t="str">
        <f>Zachodniopomorski!E8</f>
        <v>-</v>
      </c>
    </row>
    <row r="8" spans="1:20" ht="23.25" hidden="1">
      <c r="A8" s="29" t="s">
        <v>2</v>
      </c>
      <c r="B8" s="78" t="s">
        <v>139</v>
      </c>
      <c r="C8" s="123" t="str">
        <f>CENTRALA!E9</f>
        <v>-</v>
      </c>
      <c r="D8" s="122">
        <f aca="true" t="shared" si="0" ref="D8:D62">SUM(E8:T8)</f>
        <v>0</v>
      </c>
      <c r="E8" s="123" t="str">
        <f>Dolnośląski!E9</f>
        <v>-</v>
      </c>
      <c r="F8" s="123" t="str">
        <f>KujawskoPomorski!E9</f>
        <v>-</v>
      </c>
      <c r="G8" s="123" t="str">
        <f>Lubelski!E9</f>
        <v>-</v>
      </c>
      <c r="H8" s="123" t="str">
        <f>Lubuski!E9</f>
        <v>-</v>
      </c>
      <c r="I8" s="123" t="str">
        <f>Łódzki!E9</f>
        <v>-</v>
      </c>
      <c r="J8" s="123" t="str">
        <f>Małopolski!E9</f>
        <v>-</v>
      </c>
      <c r="K8" s="123" t="str">
        <f>Mazowiecki!E9</f>
        <v>-</v>
      </c>
      <c r="L8" s="123" t="str">
        <f>Opolski!E9</f>
        <v>-</v>
      </c>
      <c r="M8" s="123" t="str">
        <f>Podkarpacki!E9</f>
        <v>-</v>
      </c>
      <c r="N8" s="123" t="str">
        <f>Podlaski!E9</f>
        <v>-</v>
      </c>
      <c r="O8" s="123" t="str">
        <f>Pomorski!E9</f>
        <v>-</v>
      </c>
      <c r="P8" s="123" t="str">
        <f>Śląski!E9</f>
        <v>-</v>
      </c>
      <c r="Q8" s="123" t="str">
        <f>Świętokrzyski!E9</f>
        <v>-</v>
      </c>
      <c r="R8" s="123" t="str">
        <f>WarmińskoMazurski!E9</f>
        <v>-</v>
      </c>
      <c r="S8" s="123" t="str">
        <f>Wielkopolski!E9</f>
        <v>-</v>
      </c>
      <c r="T8" s="123" t="str">
        <f>Zachodniopomorski!E9</f>
        <v>-</v>
      </c>
    </row>
    <row r="9" spans="1:20" ht="23.25" hidden="1">
      <c r="A9" s="29" t="s">
        <v>3</v>
      </c>
      <c r="B9" s="78" t="s">
        <v>136</v>
      </c>
      <c r="C9" s="123" t="str">
        <f>CENTRALA!E10</f>
        <v>-</v>
      </c>
      <c r="D9" s="122">
        <f t="shared" si="0"/>
        <v>0</v>
      </c>
      <c r="E9" s="123" t="str">
        <f>Dolnośląski!E10</f>
        <v>-</v>
      </c>
      <c r="F9" s="123" t="str">
        <f>KujawskoPomorski!E10</f>
        <v>-</v>
      </c>
      <c r="G9" s="123" t="str">
        <f>Lubelski!E10</f>
        <v>-</v>
      </c>
      <c r="H9" s="123" t="str">
        <f>Lubuski!E10</f>
        <v>-</v>
      </c>
      <c r="I9" s="123" t="str">
        <f>Łódzki!E10</f>
        <v>-</v>
      </c>
      <c r="J9" s="123" t="str">
        <f>Małopolski!E10</f>
        <v>-</v>
      </c>
      <c r="K9" s="123" t="str">
        <f>Mazowiecki!E10</f>
        <v>-</v>
      </c>
      <c r="L9" s="123" t="str">
        <f>Opolski!E10</f>
        <v>-</v>
      </c>
      <c r="M9" s="123" t="str">
        <f>Podkarpacki!E10</f>
        <v>-</v>
      </c>
      <c r="N9" s="123" t="str">
        <f>Podlaski!E10</f>
        <v>-</v>
      </c>
      <c r="O9" s="123" t="str">
        <f>Pomorski!E10</f>
        <v>-</v>
      </c>
      <c r="P9" s="123" t="str">
        <f>Śląski!E10</f>
        <v>-</v>
      </c>
      <c r="Q9" s="123" t="str">
        <f>Świętokrzyski!E10</f>
        <v>-</v>
      </c>
      <c r="R9" s="123" t="str">
        <f>WarmińskoMazurski!E10</f>
        <v>-</v>
      </c>
      <c r="S9" s="123" t="str">
        <f>Wielkopolski!E10</f>
        <v>-</v>
      </c>
      <c r="T9" s="123" t="str">
        <f>Zachodniopomorski!E10</f>
        <v>-</v>
      </c>
    </row>
    <row r="10" spans="1:20" ht="23.25" hidden="1">
      <c r="A10" s="79" t="s">
        <v>58</v>
      </c>
      <c r="B10" s="90" t="s">
        <v>167</v>
      </c>
      <c r="C10" s="123" t="str">
        <f>CENTRALA!E11</f>
        <v>-</v>
      </c>
      <c r="D10" s="122">
        <f t="shared" si="0"/>
        <v>0</v>
      </c>
      <c r="E10" s="123" t="str">
        <f>Dolnośląski!E11</f>
        <v>-</v>
      </c>
      <c r="F10" s="123" t="str">
        <f>KujawskoPomorski!E11</f>
        <v>-</v>
      </c>
      <c r="G10" s="123" t="str">
        <f>Lubelski!E11</f>
        <v>-</v>
      </c>
      <c r="H10" s="123" t="str">
        <f>Lubuski!E11</f>
        <v>-</v>
      </c>
      <c r="I10" s="123" t="str">
        <f>Łódzki!E11</f>
        <v>-</v>
      </c>
      <c r="J10" s="123" t="str">
        <f>Małopolski!E11</f>
        <v>-</v>
      </c>
      <c r="K10" s="123" t="str">
        <f>Mazowiecki!E11</f>
        <v>-</v>
      </c>
      <c r="L10" s="123" t="str">
        <f>Opolski!E11</f>
        <v>-</v>
      </c>
      <c r="M10" s="123" t="str">
        <f>Podkarpacki!E11</f>
        <v>-</v>
      </c>
      <c r="N10" s="123" t="str">
        <f>Podlaski!E11</f>
        <v>-</v>
      </c>
      <c r="O10" s="123" t="str">
        <f>Pomorski!E11</f>
        <v>-</v>
      </c>
      <c r="P10" s="123" t="str">
        <f>Śląski!E11</f>
        <v>-</v>
      </c>
      <c r="Q10" s="123" t="str">
        <f>Świętokrzyski!E11</f>
        <v>-</v>
      </c>
      <c r="R10" s="123" t="str">
        <f>WarmińskoMazurski!E11</f>
        <v>-</v>
      </c>
      <c r="S10" s="123" t="str">
        <f>Wielkopolski!E11</f>
        <v>-</v>
      </c>
      <c r="T10" s="123" t="str">
        <f>Zachodniopomorski!E11</f>
        <v>-</v>
      </c>
    </row>
    <row r="11" spans="1:20" ht="23.25" hidden="1">
      <c r="A11" s="79" t="s">
        <v>168</v>
      </c>
      <c r="B11" s="90" t="s">
        <v>171</v>
      </c>
      <c r="C11" s="123" t="str">
        <f>CENTRALA!E12</f>
        <v>-</v>
      </c>
      <c r="D11" s="122">
        <f t="shared" si="0"/>
        <v>0</v>
      </c>
      <c r="E11" s="123" t="str">
        <f>Dolnośląski!E12</f>
        <v>-</v>
      </c>
      <c r="F11" s="123" t="str">
        <f>KujawskoPomorski!E12</f>
        <v>-</v>
      </c>
      <c r="G11" s="123" t="str">
        <f>Lubelski!E12</f>
        <v>-</v>
      </c>
      <c r="H11" s="123" t="str">
        <f>Lubuski!E12</f>
        <v>-</v>
      </c>
      <c r="I11" s="123" t="str">
        <f>Łódzki!E12</f>
        <v>-</v>
      </c>
      <c r="J11" s="123" t="str">
        <f>Małopolski!E12</f>
        <v>-</v>
      </c>
      <c r="K11" s="123" t="str">
        <f>Mazowiecki!E12</f>
        <v>-</v>
      </c>
      <c r="L11" s="123" t="str">
        <f>Opolski!E12</f>
        <v>-</v>
      </c>
      <c r="M11" s="123" t="str">
        <f>Podkarpacki!E12</f>
        <v>-</v>
      </c>
      <c r="N11" s="123" t="str">
        <f>Podlaski!E12</f>
        <v>-</v>
      </c>
      <c r="O11" s="123" t="str">
        <f>Pomorski!E12</f>
        <v>-</v>
      </c>
      <c r="P11" s="123" t="str">
        <f>Śląski!E12</f>
        <v>-</v>
      </c>
      <c r="Q11" s="123" t="str">
        <f>Świętokrzyski!E12</f>
        <v>-</v>
      </c>
      <c r="R11" s="123" t="str">
        <f>WarmińskoMazurski!E12</f>
        <v>-</v>
      </c>
      <c r="S11" s="123" t="str">
        <f>Wielkopolski!E12</f>
        <v>-</v>
      </c>
      <c r="T11" s="123" t="str">
        <f>Zachodniopomorski!E12</f>
        <v>-</v>
      </c>
    </row>
    <row r="12" spans="1:20" ht="23.25" hidden="1">
      <c r="A12" s="79" t="s">
        <v>169</v>
      </c>
      <c r="B12" s="90" t="s">
        <v>172</v>
      </c>
      <c r="C12" s="123" t="str">
        <f>CENTRALA!E13</f>
        <v>-</v>
      </c>
      <c r="D12" s="122">
        <f t="shared" si="0"/>
        <v>0</v>
      </c>
      <c r="E12" s="123" t="str">
        <f>Dolnośląski!E13</f>
        <v>-</v>
      </c>
      <c r="F12" s="123" t="str">
        <f>KujawskoPomorski!E13</f>
        <v>-</v>
      </c>
      <c r="G12" s="123" t="str">
        <f>Lubelski!E13</f>
        <v>-</v>
      </c>
      <c r="H12" s="123" t="str">
        <f>Lubuski!E13</f>
        <v>-</v>
      </c>
      <c r="I12" s="123" t="str">
        <f>Łódzki!E13</f>
        <v>-</v>
      </c>
      <c r="J12" s="123" t="str">
        <f>Małopolski!E13</f>
        <v>-</v>
      </c>
      <c r="K12" s="123" t="str">
        <f>Mazowiecki!E13</f>
        <v>-</v>
      </c>
      <c r="L12" s="123" t="str">
        <f>Opolski!E13</f>
        <v>-</v>
      </c>
      <c r="M12" s="123" t="str">
        <f>Podkarpacki!E13</f>
        <v>-</v>
      </c>
      <c r="N12" s="123" t="str">
        <f>Podlaski!E13</f>
        <v>-</v>
      </c>
      <c r="O12" s="123" t="str">
        <f>Pomorski!E13</f>
        <v>-</v>
      </c>
      <c r="P12" s="123" t="str">
        <f>Śląski!E13</f>
        <v>-</v>
      </c>
      <c r="Q12" s="123" t="str">
        <f>Świętokrzyski!E13</f>
        <v>-</v>
      </c>
      <c r="R12" s="123" t="str">
        <f>WarmińskoMazurski!E13</f>
        <v>-</v>
      </c>
      <c r="S12" s="123" t="str">
        <f>Wielkopolski!E13</f>
        <v>-</v>
      </c>
      <c r="T12" s="123" t="str">
        <f>Zachodniopomorski!E13</f>
        <v>-</v>
      </c>
    </row>
    <row r="13" spans="1:20" ht="23.25" hidden="1">
      <c r="A13" s="79" t="s">
        <v>170</v>
      </c>
      <c r="B13" s="90" t="s">
        <v>173</v>
      </c>
      <c r="C13" s="123" t="str">
        <f>CENTRALA!E14</f>
        <v>-</v>
      </c>
      <c r="D13" s="122">
        <f t="shared" si="0"/>
        <v>0</v>
      </c>
      <c r="E13" s="123" t="str">
        <f>Dolnośląski!E14</f>
        <v>-</v>
      </c>
      <c r="F13" s="123" t="str">
        <f>KujawskoPomorski!E14</f>
        <v>-</v>
      </c>
      <c r="G13" s="123" t="str">
        <f>Lubelski!E14</f>
        <v>-</v>
      </c>
      <c r="H13" s="123" t="str">
        <f>Lubuski!E14</f>
        <v>-</v>
      </c>
      <c r="I13" s="123" t="str">
        <f>Łódzki!E14</f>
        <v>-</v>
      </c>
      <c r="J13" s="123" t="str">
        <f>Małopolski!E14</f>
        <v>-</v>
      </c>
      <c r="K13" s="123" t="str">
        <f>Mazowiecki!E14</f>
        <v>-</v>
      </c>
      <c r="L13" s="123" t="str">
        <f>Opolski!E14</f>
        <v>-</v>
      </c>
      <c r="M13" s="123" t="str">
        <f>Podkarpacki!E14</f>
        <v>-</v>
      </c>
      <c r="N13" s="123" t="str">
        <f>Podlaski!E14</f>
        <v>-</v>
      </c>
      <c r="O13" s="123" t="str">
        <f>Pomorski!E14</f>
        <v>-</v>
      </c>
      <c r="P13" s="123" t="str">
        <f>Śląski!E14</f>
        <v>-</v>
      </c>
      <c r="Q13" s="123" t="str">
        <f>Świętokrzyski!E14</f>
        <v>-</v>
      </c>
      <c r="R13" s="123" t="str">
        <f>WarmińskoMazurski!E14</f>
        <v>-</v>
      </c>
      <c r="S13" s="123" t="str">
        <f>Wielkopolski!E14</f>
        <v>-</v>
      </c>
      <c r="T13" s="123" t="str">
        <f>Zachodniopomorski!E14</f>
        <v>-</v>
      </c>
    </row>
    <row r="14" spans="1:20" ht="23.25" hidden="1">
      <c r="A14" s="29" t="s">
        <v>4</v>
      </c>
      <c r="B14" s="78" t="s">
        <v>144</v>
      </c>
      <c r="C14" s="123" t="str">
        <f>CENTRALA!E15</f>
        <v>-</v>
      </c>
      <c r="D14" s="122">
        <f t="shared" si="0"/>
        <v>0</v>
      </c>
      <c r="E14" s="123" t="str">
        <f>Dolnośląski!E15</f>
        <v>-</v>
      </c>
      <c r="F14" s="123" t="str">
        <f>KujawskoPomorski!E15</f>
        <v>-</v>
      </c>
      <c r="G14" s="123" t="str">
        <f>Lubelski!E15</f>
        <v>-</v>
      </c>
      <c r="H14" s="123" t="str">
        <f>Lubuski!E15</f>
        <v>-</v>
      </c>
      <c r="I14" s="123" t="str">
        <f>Łódzki!E15</f>
        <v>-</v>
      </c>
      <c r="J14" s="123" t="str">
        <f>Małopolski!E15</f>
        <v>-</v>
      </c>
      <c r="K14" s="123" t="str">
        <f>Mazowiecki!E15</f>
        <v>-</v>
      </c>
      <c r="L14" s="123" t="str">
        <f>Opolski!E15</f>
        <v>-</v>
      </c>
      <c r="M14" s="123" t="str">
        <f>Podkarpacki!E15</f>
        <v>-</v>
      </c>
      <c r="N14" s="123" t="str">
        <f>Podlaski!E15</f>
        <v>-</v>
      </c>
      <c r="O14" s="123" t="str">
        <f>Pomorski!E15</f>
        <v>-</v>
      </c>
      <c r="P14" s="123" t="str">
        <f>Śląski!E15</f>
        <v>-</v>
      </c>
      <c r="Q14" s="123" t="str">
        <f>Świętokrzyski!E15</f>
        <v>-</v>
      </c>
      <c r="R14" s="123" t="str">
        <f>WarmińskoMazurski!E15</f>
        <v>-</v>
      </c>
      <c r="S14" s="123" t="str">
        <f>Wielkopolski!E15</f>
        <v>-</v>
      </c>
      <c r="T14" s="123" t="str">
        <f>Zachodniopomorski!E15</f>
        <v>-</v>
      </c>
    </row>
    <row r="15" spans="1:20" ht="23.25" hidden="1">
      <c r="A15" s="29" t="s">
        <v>5</v>
      </c>
      <c r="B15" s="78" t="s">
        <v>140</v>
      </c>
      <c r="C15" s="123" t="str">
        <f>CENTRALA!E16</f>
        <v>-</v>
      </c>
      <c r="D15" s="122">
        <f t="shared" si="0"/>
        <v>0</v>
      </c>
      <c r="E15" s="123" t="str">
        <f>Dolnośląski!E16</f>
        <v>-</v>
      </c>
      <c r="F15" s="123" t="str">
        <f>KujawskoPomorski!E16</f>
        <v>-</v>
      </c>
      <c r="G15" s="123" t="str">
        <f>Lubelski!E16</f>
        <v>-</v>
      </c>
      <c r="H15" s="123" t="str">
        <f>Lubuski!E16</f>
        <v>-</v>
      </c>
      <c r="I15" s="123" t="str">
        <f>Łódzki!E16</f>
        <v>-</v>
      </c>
      <c r="J15" s="123" t="str">
        <f>Małopolski!E16</f>
        <v>-</v>
      </c>
      <c r="K15" s="123" t="str">
        <f>Mazowiecki!E16</f>
        <v>-</v>
      </c>
      <c r="L15" s="123" t="str">
        <f>Opolski!E16</f>
        <v>-</v>
      </c>
      <c r="M15" s="123" t="str">
        <f>Podkarpacki!E16</f>
        <v>-</v>
      </c>
      <c r="N15" s="123" t="str">
        <f>Podlaski!E16</f>
        <v>-</v>
      </c>
      <c r="O15" s="123" t="str">
        <f>Pomorski!E16</f>
        <v>-</v>
      </c>
      <c r="P15" s="123" t="str">
        <f>Śląski!E16</f>
        <v>-</v>
      </c>
      <c r="Q15" s="123" t="str">
        <f>Świętokrzyski!E16</f>
        <v>-</v>
      </c>
      <c r="R15" s="123" t="str">
        <f>WarmińskoMazurski!E16</f>
        <v>-</v>
      </c>
      <c r="S15" s="123" t="str">
        <f>Wielkopolski!E16</f>
        <v>-</v>
      </c>
      <c r="T15" s="123" t="str">
        <f>Zachodniopomorski!E16</f>
        <v>-</v>
      </c>
    </row>
    <row r="16" spans="1:20" ht="23.25" hidden="1">
      <c r="A16" s="29" t="s">
        <v>6</v>
      </c>
      <c r="B16" s="78" t="s">
        <v>146</v>
      </c>
      <c r="C16" s="123" t="str">
        <f>CENTRALA!E17</f>
        <v>-</v>
      </c>
      <c r="D16" s="122">
        <f t="shared" si="0"/>
        <v>0</v>
      </c>
      <c r="E16" s="123" t="str">
        <f>Dolnośląski!E17</f>
        <v>-</v>
      </c>
      <c r="F16" s="123" t="str">
        <f>KujawskoPomorski!E17</f>
        <v>-</v>
      </c>
      <c r="G16" s="123" t="str">
        <f>Lubelski!E17</f>
        <v>-</v>
      </c>
      <c r="H16" s="123" t="str">
        <f>Lubuski!E17</f>
        <v>-</v>
      </c>
      <c r="I16" s="123" t="str">
        <f>Łódzki!E17</f>
        <v>-</v>
      </c>
      <c r="J16" s="123" t="str">
        <f>Małopolski!E17</f>
        <v>-</v>
      </c>
      <c r="K16" s="123" t="str">
        <f>Mazowiecki!E17</f>
        <v>-</v>
      </c>
      <c r="L16" s="123" t="str">
        <f>Opolski!E17</f>
        <v>-</v>
      </c>
      <c r="M16" s="123" t="str">
        <f>Podkarpacki!E17</f>
        <v>-</v>
      </c>
      <c r="N16" s="123" t="str">
        <f>Podlaski!E17</f>
        <v>-</v>
      </c>
      <c r="O16" s="123" t="str">
        <f>Pomorski!E17</f>
        <v>-</v>
      </c>
      <c r="P16" s="123" t="str">
        <f>Śląski!E17</f>
        <v>-</v>
      </c>
      <c r="Q16" s="123" t="str">
        <f>Świętokrzyski!E17</f>
        <v>-</v>
      </c>
      <c r="R16" s="123" t="str">
        <f>WarmińskoMazurski!E17</f>
        <v>-</v>
      </c>
      <c r="S16" s="123" t="str">
        <f>Wielkopolski!E17</f>
        <v>-</v>
      </c>
      <c r="T16" s="123" t="str">
        <f>Zachodniopomorski!E17</f>
        <v>-</v>
      </c>
    </row>
    <row r="17" spans="1:20" ht="23.25" hidden="1">
      <c r="A17" s="29" t="s">
        <v>7</v>
      </c>
      <c r="B17" s="78" t="s">
        <v>145</v>
      </c>
      <c r="C17" s="123" t="str">
        <f>CENTRALA!E18</f>
        <v>-</v>
      </c>
      <c r="D17" s="122">
        <f t="shared" si="0"/>
        <v>0</v>
      </c>
      <c r="E17" s="123" t="str">
        <f>Dolnośląski!E18</f>
        <v>-</v>
      </c>
      <c r="F17" s="123" t="str">
        <f>KujawskoPomorski!E18</f>
        <v>-</v>
      </c>
      <c r="G17" s="123" t="str">
        <f>Lubelski!E18</f>
        <v>-</v>
      </c>
      <c r="H17" s="123" t="str">
        <f>Lubuski!E18</f>
        <v>-</v>
      </c>
      <c r="I17" s="123" t="str">
        <f>Łódzki!E18</f>
        <v>-</v>
      </c>
      <c r="J17" s="123" t="str">
        <f>Małopolski!E18</f>
        <v>-</v>
      </c>
      <c r="K17" s="123" t="str">
        <f>Mazowiecki!E18</f>
        <v>-</v>
      </c>
      <c r="L17" s="123" t="str">
        <f>Opolski!E18</f>
        <v>-</v>
      </c>
      <c r="M17" s="123" t="str">
        <f>Podkarpacki!E18</f>
        <v>-</v>
      </c>
      <c r="N17" s="123" t="str">
        <f>Podlaski!E18</f>
        <v>-</v>
      </c>
      <c r="O17" s="123" t="str">
        <f>Pomorski!E18</f>
        <v>-</v>
      </c>
      <c r="P17" s="123" t="str">
        <f>Śląski!E18</f>
        <v>-</v>
      </c>
      <c r="Q17" s="123" t="str">
        <f>Świętokrzyski!E18</f>
        <v>-</v>
      </c>
      <c r="R17" s="123" t="str">
        <f>WarmińskoMazurski!E18</f>
        <v>-</v>
      </c>
      <c r="S17" s="123" t="str">
        <f>Wielkopolski!E18</f>
        <v>-</v>
      </c>
      <c r="T17" s="123" t="str">
        <f>Zachodniopomorski!E18</f>
        <v>-</v>
      </c>
    </row>
    <row r="18" spans="1:20" ht="23.25" hidden="1">
      <c r="A18" s="29" t="s">
        <v>8</v>
      </c>
      <c r="B18" s="78" t="s">
        <v>141</v>
      </c>
      <c r="C18" s="123" t="str">
        <f>CENTRALA!E19</f>
        <v>-</v>
      </c>
      <c r="D18" s="122">
        <f t="shared" si="0"/>
        <v>0</v>
      </c>
      <c r="E18" s="123" t="str">
        <f>Dolnośląski!E19</f>
        <v>-</v>
      </c>
      <c r="F18" s="123" t="str">
        <f>KujawskoPomorski!E19</f>
        <v>-</v>
      </c>
      <c r="G18" s="123" t="str">
        <f>Lubelski!E19</f>
        <v>-</v>
      </c>
      <c r="H18" s="123" t="str">
        <f>Lubuski!E19</f>
        <v>-</v>
      </c>
      <c r="I18" s="123" t="str">
        <f>Łódzki!E19</f>
        <v>-</v>
      </c>
      <c r="J18" s="123" t="str">
        <f>Małopolski!E19</f>
        <v>-</v>
      </c>
      <c r="K18" s="123" t="str">
        <f>Mazowiecki!E19</f>
        <v>-</v>
      </c>
      <c r="L18" s="123" t="str">
        <f>Opolski!E19</f>
        <v>-</v>
      </c>
      <c r="M18" s="123" t="str">
        <f>Podkarpacki!E19</f>
        <v>-</v>
      </c>
      <c r="N18" s="123" t="str">
        <f>Podlaski!E19</f>
        <v>-</v>
      </c>
      <c r="O18" s="123" t="str">
        <f>Pomorski!E19</f>
        <v>-</v>
      </c>
      <c r="P18" s="123" t="str">
        <f>Śląski!E19</f>
        <v>-</v>
      </c>
      <c r="Q18" s="123" t="str">
        <f>Świętokrzyski!E19</f>
        <v>-</v>
      </c>
      <c r="R18" s="123" t="str">
        <f>WarmińskoMazurski!E19</f>
        <v>-</v>
      </c>
      <c r="S18" s="123" t="str">
        <f>Wielkopolski!E19</f>
        <v>-</v>
      </c>
      <c r="T18" s="123" t="str">
        <f>Zachodniopomorski!E19</f>
        <v>-</v>
      </c>
    </row>
    <row r="19" spans="1:20" ht="23.25" hidden="1">
      <c r="A19" s="29" t="s">
        <v>9</v>
      </c>
      <c r="B19" s="78" t="s">
        <v>142</v>
      </c>
      <c r="C19" s="123" t="str">
        <f>CENTRALA!E20</f>
        <v>-</v>
      </c>
      <c r="D19" s="122">
        <f t="shared" si="0"/>
        <v>0</v>
      </c>
      <c r="E19" s="123" t="str">
        <f>Dolnośląski!E20</f>
        <v>-</v>
      </c>
      <c r="F19" s="123" t="str">
        <f>KujawskoPomorski!E20</f>
        <v>-</v>
      </c>
      <c r="G19" s="123" t="str">
        <f>Lubelski!E20</f>
        <v>-</v>
      </c>
      <c r="H19" s="123" t="str">
        <f>Lubuski!E20</f>
        <v>-</v>
      </c>
      <c r="I19" s="123" t="str">
        <f>Łódzki!E20</f>
        <v>-</v>
      </c>
      <c r="J19" s="123" t="str">
        <f>Małopolski!E20</f>
        <v>-</v>
      </c>
      <c r="K19" s="123" t="str">
        <f>Mazowiecki!E20</f>
        <v>-</v>
      </c>
      <c r="L19" s="123" t="str">
        <f>Opolski!E20</f>
        <v>-</v>
      </c>
      <c r="M19" s="123" t="str">
        <f>Podkarpacki!E20</f>
        <v>-</v>
      </c>
      <c r="N19" s="123" t="str">
        <f>Podlaski!E20</f>
        <v>-</v>
      </c>
      <c r="O19" s="123" t="str">
        <f>Pomorski!E20</f>
        <v>-</v>
      </c>
      <c r="P19" s="123" t="str">
        <f>Śląski!E20</f>
        <v>-</v>
      </c>
      <c r="Q19" s="123" t="str">
        <f>Świętokrzyski!E20</f>
        <v>-</v>
      </c>
      <c r="R19" s="123" t="str">
        <f>WarmińskoMazurski!E20</f>
        <v>-</v>
      </c>
      <c r="S19" s="123" t="str">
        <f>Wielkopolski!E20</f>
        <v>-</v>
      </c>
      <c r="T19" s="123" t="str">
        <f>Zachodniopomorski!E20</f>
        <v>-</v>
      </c>
    </row>
    <row r="20" spans="1:20" ht="23.25" hidden="1">
      <c r="A20" s="29" t="s">
        <v>10</v>
      </c>
      <c r="B20" s="78" t="s">
        <v>147</v>
      </c>
      <c r="C20" s="123" t="str">
        <f>CENTRALA!E21</f>
        <v>-</v>
      </c>
      <c r="D20" s="122">
        <f t="shared" si="0"/>
        <v>0</v>
      </c>
      <c r="E20" s="123" t="str">
        <f>Dolnośląski!E21</f>
        <v>-</v>
      </c>
      <c r="F20" s="123" t="str">
        <f>KujawskoPomorski!E21</f>
        <v>-</v>
      </c>
      <c r="G20" s="123" t="str">
        <f>Lubelski!E21</f>
        <v>-</v>
      </c>
      <c r="H20" s="123" t="str">
        <f>Lubuski!E21</f>
        <v>-</v>
      </c>
      <c r="I20" s="123" t="str">
        <f>Łódzki!E21</f>
        <v>-</v>
      </c>
      <c r="J20" s="123" t="str">
        <f>Małopolski!E21</f>
        <v>-</v>
      </c>
      <c r="K20" s="123" t="str">
        <f>Mazowiecki!E21</f>
        <v>-</v>
      </c>
      <c r="L20" s="123" t="str">
        <f>Opolski!E21</f>
        <v>-</v>
      </c>
      <c r="M20" s="123" t="str">
        <f>Podkarpacki!E21</f>
        <v>-</v>
      </c>
      <c r="N20" s="123" t="str">
        <f>Podlaski!E21</f>
        <v>-</v>
      </c>
      <c r="O20" s="123" t="str">
        <f>Pomorski!E21</f>
        <v>-</v>
      </c>
      <c r="P20" s="123" t="str">
        <f>Śląski!E21</f>
        <v>-</v>
      </c>
      <c r="Q20" s="123" t="str">
        <f>Świętokrzyski!E21</f>
        <v>-</v>
      </c>
      <c r="R20" s="123" t="str">
        <f>WarmińskoMazurski!E21</f>
        <v>-</v>
      </c>
      <c r="S20" s="123" t="str">
        <f>Wielkopolski!E21</f>
        <v>-</v>
      </c>
      <c r="T20" s="123" t="str">
        <f>Zachodniopomorski!E21</f>
        <v>-</v>
      </c>
    </row>
    <row r="21" spans="1:20" ht="40.5" hidden="1">
      <c r="A21" s="29" t="s">
        <v>11</v>
      </c>
      <c r="B21" s="78" t="s">
        <v>143</v>
      </c>
      <c r="C21" s="123" t="str">
        <f>CENTRALA!E22</f>
        <v>-</v>
      </c>
      <c r="D21" s="122">
        <f t="shared" si="0"/>
        <v>0</v>
      </c>
      <c r="E21" s="123" t="str">
        <f>Dolnośląski!E22</f>
        <v>-</v>
      </c>
      <c r="F21" s="123" t="str">
        <f>KujawskoPomorski!E22</f>
        <v>-</v>
      </c>
      <c r="G21" s="123" t="str">
        <f>Lubelski!E22</f>
        <v>-</v>
      </c>
      <c r="H21" s="123" t="str">
        <f>Lubuski!E22</f>
        <v>-</v>
      </c>
      <c r="I21" s="123" t="str">
        <f>Łódzki!E22</f>
        <v>-</v>
      </c>
      <c r="J21" s="123" t="str">
        <f>Małopolski!E22</f>
        <v>-</v>
      </c>
      <c r="K21" s="123" t="str">
        <f>Mazowiecki!E22</f>
        <v>-</v>
      </c>
      <c r="L21" s="123" t="str">
        <f>Opolski!E22</f>
        <v>-</v>
      </c>
      <c r="M21" s="123" t="str">
        <f>Podkarpacki!E22</f>
        <v>-</v>
      </c>
      <c r="N21" s="123" t="str">
        <f>Podlaski!E22</f>
        <v>-</v>
      </c>
      <c r="O21" s="123" t="str">
        <f>Pomorski!E22</f>
        <v>-</v>
      </c>
      <c r="P21" s="123" t="str">
        <f>Śląski!E22</f>
        <v>-</v>
      </c>
      <c r="Q21" s="123" t="str">
        <f>Świętokrzyski!E22</f>
        <v>-</v>
      </c>
      <c r="R21" s="123" t="str">
        <f>WarmińskoMazurski!E22</f>
        <v>-</v>
      </c>
      <c r="S21" s="123" t="str">
        <f>Wielkopolski!E22</f>
        <v>-</v>
      </c>
      <c r="T21" s="123" t="str">
        <f>Zachodniopomorski!E22</f>
        <v>-</v>
      </c>
    </row>
    <row r="22" spans="1:20" ht="23.25" hidden="1">
      <c r="A22" s="29" t="s">
        <v>12</v>
      </c>
      <c r="B22" s="78" t="s">
        <v>197</v>
      </c>
      <c r="C22" s="123" t="str">
        <f>CENTRALA!E23</f>
        <v>-</v>
      </c>
      <c r="D22" s="122">
        <f t="shared" si="0"/>
        <v>0</v>
      </c>
      <c r="E22" s="123" t="str">
        <f>Dolnośląski!E23</f>
        <v>-</v>
      </c>
      <c r="F22" s="123" t="str">
        <f>KujawskoPomorski!E23</f>
        <v>-</v>
      </c>
      <c r="G22" s="123" t="str">
        <f>Lubelski!E23</f>
        <v>-</v>
      </c>
      <c r="H22" s="123" t="str">
        <f>Lubuski!E23</f>
        <v>-</v>
      </c>
      <c r="I22" s="123" t="str">
        <f>Łódzki!E23</f>
        <v>-</v>
      </c>
      <c r="J22" s="123" t="str">
        <f>Małopolski!E23</f>
        <v>-</v>
      </c>
      <c r="K22" s="123" t="str">
        <f>Mazowiecki!E23</f>
        <v>-</v>
      </c>
      <c r="L22" s="123" t="str">
        <f>Opolski!E23</f>
        <v>-</v>
      </c>
      <c r="M22" s="123" t="str">
        <f>Podkarpacki!E23</f>
        <v>-</v>
      </c>
      <c r="N22" s="123" t="str">
        <f>Podlaski!E23</f>
        <v>-</v>
      </c>
      <c r="O22" s="123" t="str">
        <f>Pomorski!E23</f>
        <v>-</v>
      </c>
      <c r="P22" s="123" t="str">
        <f>Śląski!E23</f>
        <v>-</v>
      </c>
      <c r="Q22" s="123" t="str">
        <f>Świętokrzyski!E23</f>
        <v>-</v>
      </c>
      <c r="R22" s="123" t="str">
        <f>WarmińskoMazurski!E23</f>
        <v>-</v>
      </c>
      <c r="S22" s="123" t="str">
        <f>Wielkopolski!E23</f>
        <v>-</v>
      </c>
      <c r="T22" s="123" t="str">
        <f>Zachodniopomorski!E23</f>
        <v>-</v>
      </c>
    </row>
    <row r="23" spans="1:20" ht="40.5" hidden="1">
      <c r="A23" s="29" t="s">
        <v>13</v>
      </c>
      <c r="B23" s="78" t="s">
        <v>175</v>
      </c>
      <c r="C23" s="123" t="str">
        <f>CENTRALA!E24</f>
        <v>-</v>
      </c>
      <c r="D23" s="122">
        <f t="shared" si="0"/>
        <v>0</v>
      </c>
      <c r="E23" s="123" t="str">
        <f>Dolnośląski!E24</f>
        <v>-</v>
      </c>
      <c r="F23" s="123" t="str">
        <f>KujawskoPomorski!E24</f>
        <v>-</v>
      </c>
      <c r="G23" s="123" t="str">
        <f>Lubelski!E24</f>
        <v>-</v>
      </c>
      <c r="H23" s="123" t="str">
        <f>Lubuski!E24</f>
        <v>-</v>
      </c>
      <c r="I23" s="123" t="str">
        <f>Łódzki!E24</f>
        <v>-</v>
      </c>
      <c r="J23" s="123" t="str">
        <f>Małopolski!E24</f>
        <v>-</v>
      </c>
      <c r="K23" s="123" t="str">
        <f>Mazowiecki!E24</f>
        <v>-</v>
      </c>
      <c r="L23" s="123" t="str">
        <f>Opolski!E24</f>
        <v>-</v>
      </c>
      <c r="M23" s="123" t="str">
        <f>Podkarpacki!E24</f>
        <v>-</v>
      </c>
      <c r="N23" s="123" t="str">
        <f>Podlaski!E24</f>
        <v>-</v>
      </c>
      <c r="O23" s="123" t="str">
        <f>Pomorski!E24</f>
        <v>-</v>
      </c>
      <c r="P23" s="123" t="str">
        <f>Śląski!E24</f>
        <v>-</v>
      </c>
      <c r="Q23" s="123" t="str">
        <f>Świętokrzyski!E24</f>
        <v>-</v>
      </c>
      <c r="R23" s="123" t="str">
        <f>WarmińskoMazurski!E24</f>
        <v>-</v>
      </c>
      <c r="S23" s="123" t="str">
        <f>Wielkopolski!E24</f>
        <v>-</v>
      </c>
      <c r="T23" s="123" t="str">
        <f>Zachodniopomorski!E24</f>
        <v>-</v>
      </c>
    </row>
    <row r="24" spans="1:20" ht="23.25" hidden="1">
      <c r="A24" s="30" t="s">
        <v>14</v>
      </c>
      <c r="B24" s="78" t="s">
        <v>176</v>
      </c>
      <c r="C24" s="123" t="str">
        <f>CENTRALA!E25</f>
        <v>-</v>
      </c>
      <c r="D24" s="122">
        <f t="shared" si="0"/>
        <v>0</v>
      </c>
      <c r="E24" s="123" t="str">
        <f>Dolnośląski!E25</f>
        <v>-</v>
      </c>
      <c r="F24" s="123" t="str">
        <f>KujawskoPomorski!E25</f>
        <v>-</v>
      </c>
      <c r="G24" s="123" t="str">
        <f>Lubelski!E25</f>
        <v>-</v>
      </c>
      <c r="H24" s="123" t="str">
        <f>Lubuski!E25</f>
        <v>-</v>
      </c>
      <c r="I24" s="123" t="str">
        <f>Łódzki!E25</f>
        <v>-</v>
      </c>
      <c r="J24" s="123" t="str">
        <f>Małopolski!E25</f>
        <v>-</v>
      </c>
      <c r="K24" s="123" t="str">
        <f>Mazowiecki!E25</f>
        <v>-</v>
      </c>
      <c r="L24" s="123" t="str">
        <f>Opolski!E25</f>
        <v>-</v>
      </c>
      <c r="M24" s="123" t="str">
        <f>Podkarpacki!E25</f>
        <v>-</v>
      </c>
      <c r="N24" s="123" t="str">
        <f>Podlaski!E25</f>
        <v>-</v>
      </c>
      <c r="O24" s="123" t="str">
        <f>Pomorski!E25</f>
        <v>-</v>
      </c>
      <c r="P24" s="123" t="str">
        <f>Śląski!E25</f>
        <v>-</v>
      </c>
      <c r="Q24" s="123" t="str">
        <f>Świętokrzyski!E25</f>
        <v>-</v>
      </c>
      <c r="R24" s="123" t="str">
        <f>WarmińskoMazurski!E25</f>
        <v>-</v>
      </c>
      <c r="S24" s="123" t="str">
        <f>Wielkopolski!E25</f>
        <v>-</v>
      </c>
      <c r="T24" s="123" t="str">
        <f>Zachodniopomorski!E25</f>
        <v>-</v>
      </c>
    </row>
    <row r="25" spans="1:20" ht="31.5" hidden="1">
      <c r="A25" s="28" t="s">
        <v>148</v>
      </c>
      <c r="B25" s="90" t="s">
        <v>178</v>
      </c>
      <c r="C25" s="123" t="str">
        <f>CENTRALA!E26</f>
        <v>-</v>
      </c>
      <c r="D25" s="122">
        <f t="shared" si="0"/>
        <v>0</v>
      </c>
      <c r="E25" s="123" t="str">
        <f>Dolnośląski!E26</f>
        <v>-</v>
      </c>
      <c r="F25" s="123" t="str">
        <f>KujawskoPomorski!E26</f>
        <v>-</v>
      </c>
      <c r="G25" s="123" t="str">
        <f>Lubelski!E26</f>
        <v>-</v>
      </c>
      <c r="H25" s="123" t="str">
        <f>Lubuski!E26</f>
        <v>-</v>
      </c>
      <c r="I25" s="123" t="str">
        <f>Łódzki!E26</f>
        <v>-</v>
      </c>
      <c r="J25" s="123" t="str">
        <f>Małopolski!E26</f>
        <v>-</v>
      </c>
      <c r="K25" s="123" t="str">
        <f>Mazowiecki!E26</f>
        <v>-</v>
      </c>
      <c r="L25" s="123" t="str">
        <f>Opolski!E26</f>
        <v>-</v>
      </c>
      <c r="M25" s="123" t="str">
        <f>Podkarpacki!E26</f>
        <v>-</v>
      </c>
      <c r="N25" s="123" t="str">
        <f>Podlaski!E26</f>
        <v>-</v>
      </c>
      <c r="O25" s="123" t="str">
        <f>Pomorski!E26</f>
        <v>-</v>
      </c>
      <c r="P25" s="123" t="str">
        <f>Śląski!E26</f>
        <v>-</v>
      </c>
      <c r="Q25" s="123" t="str">
        <f>Świętokrzyski!E26</f>
        <v>-</v>
      </c>
      <c r="R25" s="123" t="str">
        <f>WarmińskoMazurski!E26</f>
        <v>-</v>
      </c>
      <c r="S25" s="123" t="str">
        <f>Wielkopolski!E26</f>
        <v>-</v>
      </c>
      <c r="T25" s="123" t="str">
        <f>Zachodniopomorski!E26</f>
        <v>-</v>
      </c>
    </row>
    <row r="26" spans="1:20" ht="23.25" hidden="1">
      <c r="A26" s="79" t="s">
        <v>177</v>
      </c>
      <c r="B26" s="90" t="s">
        <v>180</v>
      </c>
      <c r="C26" s="123" t="str">
        <f>CENTRALA!E27</f>
        <v>-</v>
      </c>
      <c r="D26" s="122">
        <f t="shared" si="0"/>
        <v>0</v>
      </c>
      <c r="E26" s="123" t="str">
        <f>Dolnośląski!E27</f>
        <v>-</v>
      </c>
      <c r="F26" s="123" t="str">
        <f>KujawskoPomorski!E27</f>
        <v>-</v>
      </c>
      <c r="G26" s="123" t="str">
        <f>Lubelski!E27</f>
        <v>-</v>
      </c>
      <c r="H26" s="123" t="str">
        <f>Lubuski!E27</f>
        <v>-</v>
      </c>
      <c r="I26" s="123" t="str">
        <f>Łódzki!E27</f>
        <v>-</v>
      </c>
      <c r="J26" s="123" t="str">
        <f>Małopolski!E27</f>
        <v>-</v>
      </c>
      <c r="K26" s="123" t="str">
        <f>Mazowiecki!E27</f>
        <v>-</v>
      </c>
      <c r="L26" s="123" t="str">
        <f>Opolski!E27</f>
        <v>-</v>
      </c>
      <c r="M26" s="123" t="str">
        <f>Podkarpacki!E27</f>
        <v>-</v>
      </c>
      <c r="N26" s="123" t="str">
        <f>Podlaski!E27</f>
        <v>-</v>
      </c>
      <c r="O26" s="123" t="str">
        <f>Pomorski!E27</f>
        <v>-</v>
      </c>
      <c r="P26" s="123" t="str">
        <f>Śląski!E27</f>
        <v>-</v>
      </c>
      <c r="Q26" s="123" t="str">
        <f>Świętokrzyski!E27</f>
        <v>-</v>
      </c>
      <c r="R26" s="123" t="str">
        <f>WarmińskoMazurski!E27</f>
        <v>-</v>
      </c>
      <c r="S26" s="123" t="str">
        <f>Wielkopolski!E27</f>
        <v>-</v>
      </c>
      <c r="T26" s="123" t="str">
        <f>Zachodniopomorski!E27</f>
        <v>-</v>
      </c>
    </row>
    <row r="27" spans="1:20" ht="31.5" hidden="1">
      <c r="A27" s="79" t="s">
        <v>181</v>
      </c>
      <c r="B27" s="90" t="s">
        <v>179</v>
      </c>
      <c r="C27" s="123" t="str">
        <f>CENTRALA!E28</f>
        <v>-</v>
      </c>
      <c r="D27" s="122">
        <f t="shared" si="0"/>
        <v>0</v>
      </c>
      <c r="E27" s="123" t="str">
        <f>Dolnośląski!E28</f>
        <v>-</v>
      </c>
      <c r="F27" s="123" t="str">
        <f>KujawskoPomorski!E28</f>
        <v>-</v>
      </c>
      <c r="G27" s="123" t="str">
        <f>Lubelski!E28</f>
        <v>-</v>
      </c>
      <c r="H27" s="123" t="str">
        <f>Lubuski!E28</f>
        <v>-</v>
      </c>
      <c r="I27" s="123" t="str">
        <f>Łódzki!E28</f>
        <v>-</v>
      </c>
      <c r="J27" s="123" t="str">
        <f>Małopolski!E28</f>
        <v>-</v>
      </c>
      <c r="K27" s="123" t="str">
        <f>Mazowiecki!E28</f>
        <v>-</v>
      </c>
      <c r="L27" s="123" t="str">
        <f>Opolski!E28</f>
        <v>-</v>
      </c>
      <c r="M27" s="123" t="str">
        <f>Podkarpacki!E28</f>
        <v>-</v>
      </c>
      <c r="N27" s="123" t="str">
        <f>Podlaski!E28</f>
        <v>-</v>
      </c>
      <c r="O27" s="123" t="str">
        <f>Pomorski!E28</f>
        <v>-</v>
      </c>
      <c r="P27" s="123" t="str">
        <f>Śląski!E28</f>
        <v>-</v>
      </c>
      <c r="Q27" s="123" t="str">
        <f>Świętokrzyski!E28</f>
        <v>-</v>
      </c>
      <c r="R27" s="123" t="str">
        <f>WarmińskoMazurski!E28</f>
        <v>-</v>
      </c>
      <c r="S27" s="123" t="str">
        <f>Wielkopolski!E28</f>
        <v>-</v>
      </c>
      <c r="T27" s="123" t="str">
        <f>Zachodniopomorski!E28</f>
        <v>-</v>
      </c>
    </row>
    <row r="28" spans="1:20" ht="23.25" hidden="1">
      <c r="A28" s="31" t="s">
        <v>15</v>
      </c>
      <c r="B28" s="36" t="s">
        <v>124</v>
      </c>
      <c r="C28" s="123" t="str">
        <f>CENTRALA!E29</f>
        <v>-</v>
      </c>
      <c r="D28" s="122">
        <f t="shared" si="0"/>
        <v>0</v>
      </c>
      <c r="E28" s="123" t="str">
        <f>Dolnośląski!E29</f>
        <v>-</v>
      </c>
      <c r="F28" s="123" t="str">
        <f>KujawskoPomorski!E29</f>
        <v>-</v>
      </c>
      <c r="G28" s="123" t="str">
        <f>Lubelski!E29</f>
        <v>-</v>
      </c>
      <c r="H28" s="123" t="str">
        <f>Lubuski!E29</f>
        <v>-</v>
      </c>
      <c r="I28" s="123" t="str">
        <f>Łódzki!E29</f>
        <v>-</v>
      </c>
      <c r="J28" s="123" t="str">
        <f>Małopolski!E29</f>
        <v>-</v>
      </c>
      <c r="K28" s="123" t="str">
        <f>Mazowiecki!E29</f>
        <v>-</v>
      </c>
      <c r="L28" s="123" t="str">
        <f>Opolski!E29</f>
        <v>-</v>
      </c>
      <c r="M28" s="123" t="str">
        <f>Podkarpacki!E29</f>
        <v>-</v>
      </c>
      <c r="N28" s="123" t="str">
        <f>Podlaski!E29</f>
        <v>-</v>
      </c>
      <c r="O28" s="123" t="str">
        <f>Pomorski!E29</f>
        <v>-</v>
      </c>
      <c r="P28" s="123" t="str">
        <f>Śląski!E29</f>
        <v>-</v>
      </c>
      <c r="Q28" s="123" t="str">
        <f>Świętokrzyski!E29</f>
        <v>-</v>
      </c>
      <c r="R28" s="123" t="str">
        <f>WarmińskoMazurski!E29</f>
        <v>-</v>
      </c>
      <c r="S28" s="123" t="str">
        <f>Wielkopolski!E29</f>
        <v>-</v>
      </c>
      <c r="T28" s="123" t="str">
        <f>Zachodniopomorski!E29</f>
        <v>-</v>
      </c>
    </row>
    <row r="29" spans="1:20" ht="40.5" hidden="1">
      <c r="A29" s="31" t="s">
        <v>121</v>
      </c>
      <c r="B29" s="40" t="s">
        <v>182</v>
      </c>
      <c r="C29" s="123" t="str">
        <f>CENTRALA!E30</f>
        <v>-</v>
      </c>
      <c r="D29" s="122">
        <f t="shared" si="0"/>
        <v>0</v>
      </c>
      <c r="E29" s="123" t="str">
        <f>Dolnośląski!E30</f>
        <v>-</v>
      </c>
      <c r="F29" s="123" t="str">
        <f>KujawskoPomorski!E30</f>
        <v>-</v>
      </c>
      <c r="G29" s="123" t="str">
        <f>Lubelski!E30</f>
        <v>-</v>
      </c>
      <c r="H29" s="123" t="str">
        <f>Lubuski!E30</f>
        <v>-</v>
      </c>
      <c r="I29" s="123" t="str">
        <f>Łódzki!E30</f>
        <v>-</v>
      </c>
      <c r="J29" s="123" t="str">
        <f>Małopolski!E30</f>
        <v>-</v>
      </c>
      <c r="K29" s="123" t="str">
        <f>Mazowiecki!E30</f>
        <v>-</v>
      </c>
      <c r="L29" s="123" t="str">
        <f>Opolski!E30</f>
        <v>-</v>
      </c>
      <c r="M29" s="123" t="str">
        <f>Podkarpacki!E30</f>
        <v>-</v>
      </c>
      <c r="N29" s="123" t="str">
        <f>Podlaski!E30</f>
        <v>-</v>
      </c>
      <c r="O29" s="123" t="str">
        <f>Pomorski!E30</f>
        <v>-</v>
      </c>
      <c r="P29" s="123" t="str">
        <f>Śląski!E30</f>
        <v>-</v>
      </c>
      <c r="Q29" s="123" t="str">
        <f>Świętokrzyski!E30</f>
        <v>-</v>
      </c>
      <c r="R29" s="123" t="str">
        <f>WarmińskoMazurski!E30</f>
        <v>-</v>
      </c>
      <c r="S29" s="123" t="str">
        <f>Wielkopolski!E30</f>
        <v>-</v>
      </c>
      <c r="T29" s="123" t="str">
        <f>Zachodniopomorski!E30</f>
        <v>-</v>
      </c>
    </row>
    <row r="30" spans="1:20" ht="23.25" hidden="1">
      <c r="A30" s="79" t="s">
        <v>183</v>
      </c>
      <c r="B30" s="90" t="s">
        <v>199</v>
      </c>
      <c r="C30" s="123" t="str">
        <f>CENTRALA!E31</f>
        <v>-</v>
      </c>
      <c r="D30" s="122">
        <f t="shared" si="0"/>
        <v>0</v>
      </c>
      <c r="E30" s="123" t="str">
        <f>Dolnośląski!E31</f>
        <v>-</v>
      </c>
      <c r="F30" s="123" t="str">
        <f>KujawskoPomorski!E31</f>
        <v>-</v>
      </c>
      <c r="G30" s="123" t="str">
        <f>Lubelski!E31</f>
        <v>-</v>
      </c>
      <c r="H30" s="123" t="str">
        <f>Lubuski!E31</f>
        <v>-</v>
      </c>
      <c r="I30" s="123" t="str">
        <f>Łódzki!E31</f>
        <v>-</v>
      </c>
      <c r="J30" s="123" t="str">
        <f>Małopolski!E31</f>
        <v>-</v>
      </c>
      <c r="K30" s="123" t="str">
        <f>Mazowiecki!E31</f>
        <v>-</v>
      </c>
      <c r="L30" s="123" t="str">
        <f>Opolski!E31</f>
        <v>-</v>
      </c>
      <c r="M30" s="123" t="str">
        <f>Podkarpacki!E31</f>
        <v>-</v>
      </c>
      <c r="N30" s="123" t="str">
        <f>Podlaski!E31</f>
        <v>-</v>
      </c>
      <c r="O30" s="123" t="str">
        <f>Pomorski!E31</f>
        <v>-</v>
      </c>
      <c r="P30" s="123" t="str">
        <f>Śląski!E31</f>
        <v>-</v>
      </c>
      <c r="Q30" s="123" t="str">
        <f>Świętokrzyski!E31</f>
        <v>-</v>
      </c>
      <c r="R30" s="123" t="str">
        <f>WarmińskoMazurski!E31</f>
        <v>-</v>
      </c>
      <c r="S30" s="123" t="str">
        <f>Wielkopolski!E31</f>
        <v>-</v>
      </c>
      <c r="T30" s="123" t="str">
        <f>Zachodniopomorski!E31</f>
        <v>-</v>
      </c>
    </row>
    <row r="31" spans="1:20" ht="40.5" hidden="1">
      <c r="A31" s="31" t="s">
        <v>122</v>
      </c>
      <c r="B31" s="37" t="s">
        <v>125</v>
      </c>
      <c r="C31" s="123" t="str">
        <f>CENTRALA!E32</f>
        <v>-</v>
      </c>
      <c r="D31" s="122">
        <f t="shared" si="0"/>
        <v>0</v>
      </c>
      <c r="E31" s="123" t="str">
        <f>Dolnośląski!E32</f>
        <v>-</v>
      </c>
      <c r="F31" s="123" t="str">
        <f>KujawskoPomorski!E32</f>
        <v>-</v>
      </c>
      <c r="G31" s="123" t="str">
        <f>Lubelski!E32</f>
        <v>-</v>
      </c>
      <c r="H31" s="123" t="str">
        <f>Lubuski!E32</f>
        <v>-</v>
      </c>
      <c r="I31" s="123" t="str">
        <f>Łódzki!E32</f>
        <v>-</v>
      </c>
      <c r="J31" s="123" t="str">
        <f>Małopolski!E32</f>
        <v>-</v>
      </c>
      <c r="K31" s="123" t="str">
        <f>Mazowiecki!E32</f>
        <v>-</v>
      </c>
      <c r="L31" s="123" t="str">
        <f>Opolski!E32</f>
        <v>-</v>
      </c>
      <c r="M31" s="123" t="str">
        <f>Podkarpacki!E32</f>
        <v>-</v>
      </c>
      <c r="N31" s="123" t="str">
        <f>Podlaski!E32</f>
        <v>-</v>
      </c>
      <c r="O31" s="123" t="str">
        <f>Pomorski!E32</f>
        <v>-</v>
      </c>
      <c r="P31" s="123" t="str">
        <f>Śląski!E32</f>
        <v>-</v>
      </c>
      <c r="Q31" s="123" t="str">
        <f>Świętokrzyski!E32</f>
        <v>-</v>
      </c>
      <c r="R31" s="123" t="str">
        <f>WarmińskoMazurski!E32</f>
        <v>-</v>
      </c>
      <c r="S31" s="123" t="str">
        <f>Wielkopolski!E32</f>
        <v>-</v>
      </c>
      <c r="T31" s="123" t="str">
        <f>Zachodniopomorski!E32</f>
        <v>-</v>
      </c>
    </row>
    <row r="32" spans="1:20" ht="23.25" hidden="1">
      <c r="A32" s="31" t="s">
        <v>123</v>
      </c>
      <c r="B32" s="40" t="s">
        <v>198</v>
      </c>
      <c r="C32" s="123" t="str">
        <f>CENTRALA!E33</f>
        <v>-</v>
      </c>
      <c r="D32" s="122">
        <f t="shared" si="0"/>
        <v>0</v>
      </c>
      <c r="E32" s="123" t="str">
        <f>Dolnośląski!E33</f>
        <v>-</v>
      </c>
      <c r="F32" s="123" t="str">
        <f>KujawskoPomorski!E33</f>
        <v>-</v>
      </c>
      <c r="G32" s="123" t="str">
        <f>Lubelski!E33</f>
        <v>-</v>
      </c>
      <c r="H32" s="123" t="str">
        <f>Lubuski!E33</f>
        <v>-</v>
      </c>
      <c r="I32" s="123" t="str">
        <f>Łódzki!E33</f>
        <v>-</v>
      </c>
      <c r="J32" s="123" t="str">
        <f>Małopolski!E33</f>
        <v>-</v>
      </c>
      <c r="K32" s="123" t="str">
        <f>Mazowiecki!E33</f>
        <v>-</v>
      </c>
      <c r="L32" s="123" t="str">
        <f>Opolski!E33</f>
        <v>-</v>
      </c>
      <c r="M32" s="123" t="str">
        <f>Podkarpacki!E33</f>
        <v>-</v>
      </c>
      <c r="N32" s="123" t="str">
        <f>Podlaski!E33</f>
        <v>-</v>
      </c>
      <c r="O32" s="123" t="str">
        <f>Pomorski!E33</f>
        <v>-</v>
      </c>
      <c r="P32" s="123" t="str">
        <f>Śląski!E33</f>
        <v>-</v>
      </c>
      <c r="Q32" s="123" t="str">
        <f>Świętokrzyski!E33</f>
        <v>-</v>
      </c>
      <c r="R32" s="123" t="str">
        <f>WarmińskoMazurski!E33</f>
        <v>-</v>
      </c>
      <c r="S32" s="123" t="str">
        <f>Wielkopolski!E33</f>
        <v>-</v>
      </c>
      <c r="T32" s="123" t="str">
        <f>Zachodniopomorski!E33</f>
        <v>-</v>
      </c>
    </row>
    <row r="33" spans="1:20" ht="23.25" hidden="1">
      <c r="A33" s="32" t="s">
        <v>60</v>
      </c>
      <c r="B33" s="38" t="s">
        <v>61</v>
      </c>
      <c r="C33" s="123" t="str">
        <f>CENTRALA!E34</f>
        <v>-</v>
      </c>
      <c r="D33" s="122">
        <f t="shared" si="0"/>
        <v>0</v>
      </c>
      <c r="E33" s="123" t="str">
        <f>Dolnośląski!E34</f>
        <v>-</v>
      </c>
      <c r="F33" s="123" t="str">
        <f>KujawskoPomorski!E34</f>
        <v>-</v>
      </c>
      <c r="G33" s="123" t="str">
        <f>Lubelski!E34</f>
        <v>-</v>
      </c>
      <c r="H33" s="123" t="str">
        <f>Lubuski!E34</f>
        <v>-</v>
      </c>
      <c r="I33" s="123" t="str">
        <f>Łódzki!E34</f>
        <v>-</v>
      </c>
      <c r="J33" s="123" t="str">
        <f>Małopolski!E34</f>
        <v>-</v>
      </c>
      <c r="K33" s="123" t="str">
        <f>Mazowiecki!E34</f>
        <v>-</v>
      </c>
      <c r="L33" s="123" t="str">
        <f>Opolski!E34</f>
        <v>-</v>
      </c>
      <c r="M33" s="123" t="str">
        <f>Podkarpacki!E34</f>
        <v>-</v>
      </c>
      <c r="N33" s="123" t="str">
        <f>Podlaski!E34</f>
        <v>-</v>
      </c>
      <c r="O33" s="123" t="str">
        <f>Pomorski!E34</f>
        <v>-</v>
      </c>
      <c r="P33" s="123" t="str">
        <f>Śląski!E34</f>
        <v>-</v>
      </c>
      <c r="Q33" s="123" t="str">
        <f>Świętokrzyski!E34</f>
        <v>-</v>
      </c>
      <c r="R33" s="123" t="str">
        <f>WarmińskoMazurski!E34</f>
        <v>-</v>
      </c>
      <c r="S33" s="123" t="str">
        <f>Wielkopolski!E34</f>
        <v>-</v>
      </c>
      <c r="T33" s="123" t="str">
        <f>Zachodniopomorski!E34</f>
        <v>-</v>
      </c>
    </row>
    <row r="34" spans="1:20" ht="70.5" customHeight="1" hidden="1">
      <c r="A34" s="32" t="s">
        <v>59</v>
      </c>
      <c r="B34" s="38" t="s">
        <v>62</v>
      </c>
      <c r="C34" s="123" t="str">
        <f>CENTRALA!E35</f>
        <v>-</v>
      </c>
      <c r="D34" s="122">
        <f t="shared" si="0"/>
        <v>0</v>
      </c>
      <c r="E34" s="123" t="str">
        <f>Dolnośląski!E35</f>
        <v>-</v>
      </c>
      <c r="F34" s="123" t="str">
        <f>KujawskoPomorski!E35</f>
        <v>-</v>
      </c>
      <c r="G34" s="123" t="str">
        <f>Lubelski!E35</f>
        <v>-</v>
      </c>
      <c r="H34" s="123" t="str">
        <f>Lubuski!E35</f>
        <v>-</v>
      </c>
      <c r="I34" s="123" t="str">
        <f>Łódzki!E35</f>
        <v>-</v>
      </c>
      <c r="J34" s="123" t="str">
        <f>Małopolski!E35</f>
        <v>-</v>
      </c>
      <c r="K34" s="123" t="str">
        <f>Mazowiecki!E35</f>
        <v>-</v>
      </c>
      <c r="L34" s="123" t="str">
        <f>Opolski!E35</f>
        <v>-</v>
      </c>
      <c r="M34" s="123" t="str">
        <f>Podkarpacki!E35</f>
        <v>-</v>
      </c>
      <c r="N34" s="123" t="str">
        <f>Podlaski!E35</f>
        <v>-</v>
      </c>
      <c r="O34" s="123" t="str">
        <f>Pomorski!E35</f>
        <v>-</v>
      </c>
      <c r="P34" s="123" t="str">
        <f>Śląski!E35</f>
        <v>-</v>
      </c>
      <c r="Q34" s="123" t="str">
        <f>Świętokrzyski!E35</f>
        <v>-</v>
      </c>
      <c r="R34" s="123" t="str">
        <f>WarmińskoMazurski!E35</f>
        <v>-</v>
      </c>
      <c r="S34" s="123" t="str">
        <f>Wielkopolski!E35</f>
        <v>-</v>
      </c>
      <c r="T34" s="123" t="str">
        <f>Zachodniopomorski!E35</f>
        <v>-</v>
      </c>
    </row>
    <row r="35" spans="1:20" ht="40.5" hidden="1">
      <c r="A35" s="124" t="s">
        <v>184</v>
      </c>
      <c r="B35" s="38" t="s">
        <v>185</v>
      </c>
      <c r="C35" s="123" t="str">
        <f>CENTRALA!E36</f>
        <v>-</v>
      </c>
      <c r="D35" s="122">
        <f t="shared" si="0"/>
        <v>0</v>
      </c>
      <c r="E35" s="123" t="str">
        <f>Dolnośląski!E36</f>
        <v>-</v>
      </c>
      <c r="F35" s="123" t="str">
        <f>KujawskoPomorski!E36</f>
        <v>-</v>
      </c>
      <c r="G35" s="123" t="str">
        <f>Lubelski!E36</f>
        <v>-</v>
      </c>
      <c r="H35" s="123" t="str">
        <f>Lubuski!E36</f>
        <v>-</v>
      </c>
      <c r="I35" s="123" t="str">
        <f>Łódzki!E36</f>
        <v>-</v>
      </c>
      <c r="J35" s="123" t="str">
        <f>Małopolski!E36</f>
        <v>-</v>
      </c>
      <c r="K35" s="123" t="str">
        <f>Mazowiecki!E36</f>
        <v>-</v>
      </c>
      <c r="L35" s="123" t="str">
        <f>Opolski!E36</f>
        <v>-</v>
      </c>
      <c r="M35" s="123" t="str">
        <f>Podkarpacki!E36</f>
        <v>-</v>
      </c>
      <c r="N35" s="123" t="str">
        <f>Podlaski!E36</f>
        <v>-</v>
      </c>
      <c r="O35" s="123" t="str">
        <f>Pomorski!E36</f>
        <v>-</v>
      </c>
      <c r="P35" s="123" t="str">
        <f>Śląski!E36</f>
        <v>-</v>
      </c>
      <c r="Q35" s="123" t="str">
        <f>Świętokrzyski!E36</f>
        <v>-</v>
      </c>
      <c r="R35" s="123" t="str">
        <f>WarmińskoMazurski!E36</f>
        <v>-</v>
      </c>
      <c r="S35" s="123" t="str">
        <f>Wielkopolski!E36</f>
        <v>-</v>
      </c>
      <c r="T35" s="123" t="str">
        <f>Zachodniopomorski!E36</f>
        <v>-</v>
      </c>
    </row>
    <row r="36" spans="1:20" ht="22.5">
      <c r="A36" s="125" t="s">
        <v>16</v>
      </c>
      <c r="B36" s="126" t="s">
        <v>195</v>
      </c>
      <c r="C36" s="121">
        <f>CENTRALA!E37</f>
        <v>657</v>
      </c>
      <c r="D36" s="127">
        <f t="shared" si="0"/>
        <v>5012</v>
      </c>
      <c r="E36" s="121">
        <f>Dolnośląski!E37</f>
        <v>402</v>
      </c>
      <c r="F36" s="121">
        <f>KujawskoPomorski!E37</f>
        <v>287</v>
      </c>
      <c r="G36" s="121">
        <f>Lubelski!E37</f>
        <v>277</v>
      </c>
      <c r="H36" s="121">
        <f>Lubuski!E37</f>
        <v>146</v>
      </c>
      <c r="I36" s="121">
        <f>Łódzki!E37</f>
        <v>328</v>
      </c>
      <c r="J36" s="121">
        <f>Małopolski!E37</f>
        <v>339</v>
      </c>
      <c r="K36" s="121">
        <f>Mazowiecki!E37</f>
        <v>954</v>
      </c>
      <c r="L36" s="121">
        <f>Opolski!E37</f>
        <v>107</v>
      </c>
      <c r="M36" s="121">
        <f>Podkarpacki!E37</f>
        <v>267</v>
      </c>
      <c r="N36" s="121">
        <f>Podlaski!E37</f>
        <v>201</v>
      </c>
      <c r="O36" s="121">
        <f>Pomorski!E37</f>
        <v>279</v>
      </c>
      <c r="P36" s="121">
        <f>Śląski!E37</f>
        <v>363</v>
      </c>
      <c r="Q36" s="121">
        <f>Świętokrzyski!E37</f>
        <v>199</v>
      </c>
      <c r="R36" s="121">
        <f>WarmińskoMazurski!E37</f>
        <v>146</v>
      </c>
      <c r="S36" s="121">
        <f>Wielkopolski!E37</f>
        <v>510</v>
      </c>
      <c r="T36" s="121">
        <f>Zachodniopomorski!E37</f>
        <v>207</v>
      </c>
    </row>
    <row r="37" spans="1:20" ht="26.25" customHeight="1">
      <c r="A37" s="31" t="s">
        <v>17</v>
      </c>
      <c r="B37" s="40" t="s">
        <v>18</v>
      </c>
      <c r="C37" s="123" t="str">
        <f>CENTRALA!E38</f>
        <v>-</v>
      </c>
      <c r="D37" s="122">
        <f t="shared" si="0"/>
        <v>0</v>
      </c>
      <c r="E37" s="123" t="str">
        <f>Dolnośląski!E38</f>
        <v>-</v>
      </c>
      <c r="F37" s="123" t="str">
        <f>KujawskoPomorski!E38</f>
        <v>-</v>
      </c>
      <c r="G37" s="123" t="str">
        <f>Lubelski!E38</f>
        <v>-</v>
      </c>
      <c r="H37" s="123" t="str">
        <f>Lubuski!E38</f>
        <v>-</v>
      </c>
      <c r="I37" s="123" t="str">
        <f>Łódzki!E38</f>
        <v>-</v>
      </c>
      <c r="J37" s="123" t="str">
        <f>Małopolski!E38</f>
        <v>-</v>
      </c>
      <c r="K37" s="123" t="str">
        <f>Mazowiecki!E38</f>
        <v>-</v>
      </c>
      <c r="L37" s="123" t="str">
        <f>Opolski!E38</f>
        <v>-</v>
      </c>
      <c r="M37" s="123" t="str">
        <f>Podkarpacki!E38</f>
        <v>-</v>
      </c>
      <c r="N37" s="123" t="str">
        <f>Podlaski!E38</f>
        <v>-</v>
      </c>
      <c r="O37" s="123" t="str">
        <f>Pomorski!E38</f>
        <v>-</v>
      </c>
      <c r="P37" s="123" t="str">
        <f>Śląski!E38</f>
        <v>-</v>
      </c>
      <c r="Q37" s="123" t="str">
        <f>Świętokrzyski!E38</f>
        <v>-</v>
      </c>
      <c r="R37" s="123" t="str">
        <f>WarmińskoMazurski!E38</f>
        <v>-</v>
      </c>
      <c r="S37" s="123" t="str">
        <f>Wielkopolski!E38</f>
        <v>-</v>
      </c>
      <c r="T37" s="123" t="str">
        <f>Zachodniopomorski!E38</f>
        <v>-</v>
      </c>
    </row>
    <row r="38" spans="1:20" ht="26.25" customHeight="1">
      <c r="A38" s="31" t="s">
        <v>19</v>
      </c>
      <c r="B38" s="40" t="s">
        <v>20</v>
      </c>
      <c r="C38" s="123" t="str">
        <f>CENTRALA!E39</f>
        <v>-</v>
      </c>
      <c r="D38" s="122">
        <f t="shared" si="0"/>
        <v>0</v>
      </c>
      <c r="E38" s="123" t="str">
        <f>Dolnośląski!E39</f>
        <v>-</v>
      </c>
      <c r="F38" s="123" t="str">
        <f>KujawskoPomorski!E39</f>
        <v>-</v>
      </c>
      <c r="G38" s="123" t="str">
        <f>Lubelski!E39</f>
        <v>-</v>
      </c>
      <c r="H38" s="123" t="str">
        <f>Lubuski!E39</f>
        <v>-</v>
      </c>
      <c r="I38" s="123" t="str">
        <f>Łódzki!E39</f>
        <v>-</v>
      </c>
      <c r="J38" s="123" t="str">
        <f>Małopolski!E39</f>
        <v>-</v>
      </c>
      <c r="K38" s="123" t="str">
        <f>Mazowiecki!E39</f>
        <v>-</v>
      </c>
      <c r="L38" s="123" t="str">
        <f>Opolski!E39</f>
        <v>-</v>
      </c>
      <c r="M38" s="123" t="str">
        <f>Podkarpacki!E39</f>
        <v>-</v>
      </c>
      <c r="N38" s="123" t="str">
        <f>Podlaski!E39</f>
        <v>-</v>
      </c>
      <c r="O38" s="123" t="str">
        <f>Pomorski!E39</f>
        <v>-</v>
      </c>
      <c r="P38" s="123" t="str">
        <f>Śląski!E39</f>
        <v>-</v>
      </c>
      <c r="Q38" s="123" t="str">
        <f>Świętokrzyski!E39</f>
        <v>-</v>
      </c>
      <c r="R38" s="123" t="str">
        <f>WarmińskoMazurski!E39</f>
        <v>-</v>
      </c>
      <c r="S38" s="123" t="str">
        <f>Wielkopolski!E39</f>
        <v>-</v>
      </c>
      <c r="T38" s="123" t="str">
        <f>Zachodniopomorski!E39</f>
        <v>-</v>
      </c>
    </row>
    <row r="39" spans="1:20" ht="26.25" customHeight="1">
      <c r="A39" s="31" t="s">
        <v>21</v>
      </c>
      <c r="B39" s="41" t="s">
        <v>248</v>
      </c>
      <c r="C39" s="123" t="str">
        <f>CENTRALA!E40</f>
        <v>-</v>
      </c>
      <c r="D39" s="122">
        <f t="shared" si="0"/>
        <v>0</v>
      </c>
      <c r="E39" s="123" t="str">
        <f>Dolnośląski!E40</f>
        <v>-</v>
      </c>
      <c r="F39" s="123" t="str">
        <f>KujawskoPomorski!E40</f>
        <v>-</v>
      </c>
      <c r="G39" s="123" t="str">
        <f>Lubelski!E40</f>
        <v>-</v>
      </c>
      <c r="H39" s="123" t="str">
        <f>Lubuski!E40</f>
        <v>-</v>
      </c>
      <c r="I39" s="123" t="str">
        <f>Łódzki!E40</f>
        <v>-</v>
      </c>
      <c r="J39" s="123" t="str">
        <f>Małopolski!E40</f>
        <v>-</v>
      </c>
      <c r="K39" s="123" t="str">
        <f>Mazowiecki!E40</f>
        <v>-</v>
      </c>
      <c r="L39" s="123" t="str">
        <f>Opolski!E40</f>
        <v>-</v>
      </c>
      <c r="M39" s="123" t="str">
        <f>Podkarpacki!E40</f>
        <v>-</v>
      </c>
      <c r="N39" s="123" t="str">
        <f>Podlaski!E40</f>
        <v>-</v>
      </c>
      <c r="O39" s="123" t="str">
        <f>Pomorski!E40</f>
        <v>-</v>
      </c>
      <c r="P39" s="123" t="str">
        <f>Śląski!E40</f>
        <v>-</v>
      </c>
      <c r="Q39" s="123" t="str">
        <f>Świętokrzyski!E40</f>
        <v>-</v>
      </c>
      <c r="R39" s="123" t="str">
        <f>WarmińskoMazurski!E40</f>
        <v>-</v>
      </c>
      <c r="S39" s="123" t="str">
        <f>Wielkopolski!E40</f>
        <v>-</v>
      </c>
      <c r="T39" s="123" t="str">
        <f>Zachodniopomorski!E40</f>
        <v>-</v>
      </c>
    </row>
    <row r="40" spans="1:20" ht="24.75" customHeight="1">
      <c r="A40" s="42" t="s">
        <v>40</v>
      </c>
      <c r="B40" s="43" t="s">
        <v>33</v>
      </c>
      <c r="C40" s="123" t="str">
        <f>CENTRALA!E41</f>
        <v>-</v>
      </c>
      <c r="D40" s="122">
        <f t="shared" si="0"/>
        <v>0</v>
      </c>
      <c r="E40" s="123" t="str">
        <f>Dolnośląski!E41</f>
        <v>-</v>
      </c>
      <c r="F40" s="123" t="str">
        <f>KujawskoPomorski!E41</f>
        <v>-</v>
      </c>
      <c r="G40" s="123" t="str">
        <f>Lubelski!E41</f>
        <v>-</v>
      </c>
      <c r="H40" s="123" t="str">
        <f>Lubuski!E41</f>
        <v>-</v>
      </c>
      <c r="I40" s="123" t="str">
        <f>Łódzki!E41</f>
        <v>-</v>
      </c>
      <c r="J40" s="123" t="str">
        <f>Małopolski!E41</f>
        <v>-</v>
      </c>
      <c r="K40" s="123" t="str">
        <f>Mazowiecki!E41</f>
        <v>-</v>
      </c>
      <c r="L40" s="123" t="str">
        <f>Opolski!E41</f>
        <v>-</v>
      </c>
      <c r="M40" s="123" t="str">
        <f>Podkarpacki!E41</f>
        <v>-</v>
      </c>
      <c r="N40" s="123" t="str">
        <f>Podlaski!E41</f>
        <v>-</v>
      </c>
      <c r="O40" s="123" t="str">
        <f>Pomorski!E41</f>
        <v>-</v>
      </c>
      <c r="P40" s="123" t="str">
        <f>Śląski!E41</f>
        <v>-</v>
      </c>
      <c r="Q40" s="123" t="str">
        <f>Świętokrzyski!E41</f>
        <v>-</v>
      </c>
      <c r="R40" s="123" t="str">
        <f>WarmińskoMazurski!E41</f>
        <v>-</v>
      </c>
      <c r="S40" s="123" t="str">
        <f>Wielkopolski!E41</f>
        <v>-</v>
      </c>
      <c r="T40" s="123" t="str">
        <f>Zachodniopomorski!E41</f>
        <v>-</v>
      </c>
    </row>
    <row r="41" spans="1:20" ht="24.75" customHeight="1">
      <c r="A41" s="42" t="s">
        <v>41</v>
      </c>
      <c r="B41" s="44" t="s">
        <v>34</v>
      </c>
      <c r="C41" s="123" t="str">
        <f>CENTRALA!E42</f>
        <v>-</v>
      </c>
      <c r="D41" s="122">
        <f t="shared" si="0"/>
        <v>0</v>
      </c>
      <c r="E41" s="123" t="str">
        <f>Dolnośląski!E42</f>
        <v>-</v>
      </c>
      <c r="F41" s="123" t="str">
        <f>KujawskoPomorski!E42</f>
        <v>-</v>
      </c>
      <c r="G41" s="123" t="str">
        <f>Lubelski!E42</f>
        <v>-</v>
      </c>
      <c r="H41" s="123" t="str">
        <f>Lubuski!E42</f>
        <v>-</v>
      </c>
      <c r="I41" s="123" t="str">
        <f>Łódzki!E42</f>
        <v>-</v>
      </c>
      <c r="J41" s="123" t="str">
        <f>Małopolski!E42</f>
        <v>-</v>
      </c>
      <c r="K41" s="123" t="str">
        <f>Mazowiecki!E42</f>
        <v>-</v>
      </c>
      <c r="L41" s="123" t="str">
        <f>Opolski!E42</f>
        <v>-</v>
      </c>
      <c r="M41" s="123" t="str">
        <f>Podkarpacki!E42</f>
        <v>-</v>
      </c>
      <c r="N41" s="123" t="str">
        <f>Podlaski!E42</f>
        <v>-</v>
      </c>
      <c r="O41" s="123" t="str">
        <f>Pomorski!E42</f>
        <v>-</v>
      </c>
      <c r="P41" s="123" t="str">
        <f>Śląski!E42</f>
        <v>-</v>
      </c>
      <c r="Q41" s="123" t="str">
        <f>Świętokrzyski!E42</f>
        <v>-</v>
      </c>
      <c r="R41" s="123" t="str">
        <f>WarmińskoMazurski!E42</f>
        <v>-</v>
      </c>
      <c r="S41" s="123" t="str">
        <f>Wielkopolski!E42</f>
        <v>-</v>
      </c>
      <c r="T41" s="123" t="str">
        <f>Zachodniopomorski!E42</f>
        <v>-</v>
      </c>
    </row>
    <row r="42" spans="1:20" ht="24.75" customHeight="1">
      <c r="A42" s="42" t="s">
        <v>42</v>
      </c>
      <c r="B42" s="43" t="s">
        <v>35</v>
      </c>
      <c r="C42" s="123" t="str">
        <f>CENTRALA!E43</f>
        <v>-</v>
      </c>
      <c r="D42" s="122">
        <f t="shared" si="0"/>
        <v>0</v>
      </c>
      <c r="E42" s="123" t="str">
        <f>Dolnośląski!E43</f>
        <v>-</v>
      </c>
      <c r="F42" s="123" t="str">
        <f>KujawskoPomorski!E43</f>
        <v>-</v>
      </c>
      <c r="G42" s="123" t="str">
        <f>Lubelski!E43</f>
        <v>-</v>
      </c>
      <c r="H42" s="123" t="str">
        <f>Lubuski!E43</f>
        <v>-</v>
      </c>
      <c r="I42" s="123" t="str">
        <f>Łódzki!E43</f>
        <v>-</v>
      </c>
      <c r="J42" s="123" t="str">
        <f>Małopolski!E43</f>
        <v>-</v>
      </c>
      <c r="K42" s="123" t="str">
        <f>Mazowiecki!E43</f>
        <v>-</v>
      </c>
      <c r="L42" s="123" t="str">
        <f>Opolski!E43</f>
        <v>-</v>
      </c>
      <c r="M42" s="123" t="str">
        <f>Podkarpacki!E43</f>
        <v>-</v>
      </c>
      <c r="N42" s="123" t="str">
        <f>Podlaski!E43</f>
        <v>-</v>
      </c>
      <c r="O42" s="123" t="str">
        <f>Pomorski!E43</f>
        <v>-</v>
      </c>
      <c r="P42" s="123" t="str">
        <f>Śląski!E43</f>
        <v>-</v>
      </c>
      <c r="Q42" s="123" t="str">
        <f>Świętokrzyski!E43</f>
        <v>-</v>
      </c>
      <c r="R42" s="123" t="str">
        <f>WarmińskoMazurski!E43</f>
        <v>-</v>
      </c>
      <c r="S42" s="123" t="str">
        <f>Wielkopolski!E43</f>
        <v>-</v>
      </c>
      <c r="T42" s="123" t="str">
        <f>Zachodniopomorski!E43</f>
        <v>-</v>
      </c>
    </row>
    <row r="43" spans="1:20" ht="24.75" customHeight="1">
      <c r="A43" s="42" t="s">
        <v>43</v>
      </c>
      <c r="B43" s="43" t="s">
        <v>36</v>
      </c>
      <c r="C43" s="123" t="str">
        <f>CENTRALA!E44</f>
        <v>-</v>
      </c>
      <c r="D43" s="122">
        <f t="shared" si="0"/>
        <v>0</v>
      </c>
      <c r="E43" s="123" t="str">
        <f>Dolnośląski!E44</f>
        <v>-</v>
      </c>
      <c r="F43" s="123" t="str">
        <f>KujawskoPomorski!E44</f>
        <v>-</v>
      </c>
      <c r="G43" s="123" t="str">
        <f>Lubelski!E44</f>
        <v>-</v>
      </c>
      <c r="H43" s="123" t="str">
        <f>Lubuski!E44</f>
        <v>-</v>
      </c>
      <c r="I43" s="123" t="str">
        <f>Łódzki!E44</f>
        <v>-</v>
      </c>
      <c r="J43" s="123" t="str">
        <f>Małopolski!E44</f>
        <v>-</v>
      </c>
      <c r="K43" s="123" t="str">
        <f>Mazowiecki!E44</f>
        <v>-</v>
      </c>
      <c r="L43" s="123" t="str">
        <f>Opolski!E44</f>
        <v>-</v>
      </c>
      <c r="M43" s="123" t="str">
        <f>Podkarpacki!E44</f>
        <v>-</v>
      </c>
      <c r="N43" s="123" t="str">
        <f>Podlaski!E44</f>
        <v>-</v>
      </c>
      <c r="O43" s="123" t="str">
        <f>Pomorski!E44</f>
        <v>-</v>
      </c>
      <c r="P43" s="123" t="str">
        <f>Śląski!E44</f>
        <v>-</v>
      </c>
      <c r="Q43" s="123" t="str">
        <f>Świętokrzyski!E44</f>
        <v>-</v>
      </c>
      <c r="R43" s="123" t="str">
        <f>WarmińskoMazurski!E44</f>
        <v>-</v>
      </c>
      <c r="S43" s="123" t="str">
        <f>Wielkopolski!E44</f>
        <v>-</v>
      </c>
      <c r="T43" s="123" t="str">
        <f>Zachodniopomorski!E44</f>
        <v>-</v>
      </c>
    </row>
    <row r="44" spans="1:20" ht="24.75" customHeight="1">
      <c r="A44" s="42" t="s">
        <v>44</v>
      </c>
      <c r="B44" s="43" t="s">
        <v>37</v>
      </c>
      <c r="C44" s="123" t="str">
        <f>CENTRALA!E45</f>
        <v>-</v>
      </c>
      <c r="D44" s="122">
        <f t="shared" si="0"/>
        <v>0</v>
      </c>
      <c r="E44" s="123" t="str">
        <f>Dolnośląski!E45</f>
        <v>-</v>
      </c>
      <c r="F44" s="123" t="str">
        <f>KujawskoPomorski!E45</f>
        <v>-</v>
      </c>
      <c r="G44" s="123" t="str">
        <f>Lubelski!E45</f>
        <v>-</v>
      </c>
      <c r="H44" s="123" t="str">
        <f>Lubuski!E45</f>
        <v>-</v>
      </c>
      <c r="I44" s="123" t="str">
        <f>Łódzki!E45</f>
        <v>-</v>
      </c>
      <c r="J44" s="123" t="str">
        <f>Małopolski!E45</f>
        <v>-</v>
      </c>
      <c r="K44" s="123" t="str">
        <f>Mazowiecki!E45</f>
        <v>-</v>
      </c>
      <c r="L44" s="123" t="str">
        <f>Opolski!E45</f>
        <v>-</v>
      </c>
      <c r="M44" s="123" t="str">
        <f>Podkarpacki!E45</f>
        <v>-</v>
      </c>
      <c r="N44" s="123" t="str">
        <f>Podlaski!E45</f>
        <v>-</v>
      </c>
      <c r="O44" s="123" t="str">
        <f>Pomorski!E45</f>
        <v>-</v>
      </c>
      <c r="P44" s="123" t="str">
        <f>Śląski!E45</f>
        <v>-</v>
      </c>
      <c r="Q44" s="123" t="str">
        <f>Świętokrzyski!E45</f>
        <v>-</v>
      </c>
      <c r="R44" s="123" t="str">
        <f>WarmińskoMazurski!E45</f>
        <v>-</v>
      </c>
      <c r="S44" s="123" t="str">
        <f>Wielkopolski!E45</f>
        <v>-</v>
      </c>
      <c r="T44" s="123" t="str">
        <f>Zachodniopomorski!E45</f>
        <v>-</v>
      </c>
    </row>
    <row r="45" spans="1:20" ht="24.75" customHeight="1">
      <c r="A45" s="42" t="s">
        <v>45</v>
      </c>
      <c r="B45" s="43" t="s">
        <v>38</v>
      </c>
      <c r="C45" s="123" t="str">
        <f>CENTRALA!E46</f>
        <v>-</v>
      </c>
      <c r="D45" s="122">
        <f t="shared" si="0"/>
        <v>0</v>
      </c>
      <c r="E45" s="123" t="str">
        <f>Dolnośląski!E46</f>
        <v>-</v>
      </c>
      <c r="F45" s="123" t="str">
        <f>KujawskoPomorski!E46</f>
        <v>-</v>
      </c>
      <c r="G45" s="123" t="str">
        <f>Lubelski!E46</f>
        <v>-</v>
      </c>
      <c r="H45" s="123" t="str">
        <f>Lubuski!E46</f>
        <v>-</v>
      </c>
      <c r="I45" s="123" t="str">
        <f>Łódzki!E46</f>
        <v>-</v>
      </c>
      <c r="J45" s="123" t="str">
        <f>Małopolski!E46</f>
        <v>-</v>
      </c>
      <c r="K45" s="123" t="str">
        <f>Mazowiecki!E46</f>
        <v>-</v>
      </c>
      <c r="L45" s="123" t="str">
        <f>Opolski!E46</f>
        <v>-</v>
      </c>
      <c r="M45" s="123" t="str">
        <f>Podkarpacki!E46</f>
        <v>-</v>
      </c>
      <c r="N45" s="123" t="str">
        <f>Podlaski!E46</f>
        <v>-</v>
      </c>
      <c r="O45" s="123" t="str">
        <f>Pomorski!E46</f>
        <v>-</v>
      </c>
      <c r="P45" s="123" t="str">
        <f>Śląski!E46</f>
        <v>-</v>
      </c>
      <c r="Q45" s="123" t="str">
        <f>Świętokrzyski!E46</f>
        <v>-</v>
      </c>
      <c r="R45" s="123" t="str">
        <f>WarmińskoMazurski!E46</f>
        <v>-</v>
      </c>
      <c r="S45" s="123" t="str">
        <f>Wielkopolski!E46</f>
        <v>-</v>
      </c>
      <c r="T45" s="123" t="str">
        <f>Zachodniopomorski!E46</f>
        <v>-</v>
      </c>
    </row>
    <row r="46" spans="1:20" ht="24.75" customHeight="1">
      <c r="A46" s="42" t="s">
        <v>46</v>
      </c>
      <c r="B46" s="43" t="s">
        <v>39</v>
      </c>
      <c r="C46" s="123" t="str">
        <f>CENTRALA!E47</f>
        <v>-</v>
      </c>
      <c r="D46" s="122">
        <f t="shared" si="0"/>
        <v>0</v>
      </c>
      <c r="E46" s="123" t="str">
        <f>Dolnośląski!E47</f>
        <v>-</v>
      </c>
      <c r="F46" s="123" t="str">
        <f>KujawskoPomorski!E47</f>
        <v>-</v>
      </c>
      <c r="G46" s="123" t="str">
        <f>Lubelski!E47</f>
        <v>-</v>
      </c>
      <c r="H46" s="123" t="str">
        <f>Lubuski!E47</f>
        <v>-</v>
      </c>
      <c r="I46" s="123" t="str">
        <f>Łódzki!E47</f>
        <v>-</v>
      </c>
      <c r="J46" s="123" t="str">
        <f>Małopolski!E47</f>
        <v>-</v>
      </c>
      <c r="K46" s="123" t="str">
        <f>Mazowiecki!E47</f>
        <v>-</v>
      </c>
      <c r="L46" s="123" t="str">
        <f>Opolski!E47</f>
        <v>-</v>
      </c>
      <c r="M46" s="123" t="str">
        <f>Podkarpacki!E47</f>
        <v>-</v>
      </c>
      <c r="N46" s="123" t="str">
        <f>Podlaski!E47</f>
        <v>-</v>
      </c>
      <c r="O46" s="123" t="str">
        <f>Pomorski!E47</f>
        <v>-</v>
      </c>
      <c r="P46" s="123" t="str">
        <f>Śląski!E47</f>
        <v>-</v>
      </c>
      <c r="Q46" s="123" t="str">
        <f>Świętokrzyski!E47</f>
        <v>-</v>
      </c>
      <c r="R46" s="123" t="str">
        <f>WarmińskoMazurski!E47</f>
        <v>-</v>
      </c>
      <c r="S46" s="123" t="str">
        <f>Wielkopolski!E47</f>
        <v>-</v>
      </c>
      <c r="T46" s="123" t="str">
        <f>Zachodniopomorski!E47</f>
        <v>-</v>
      </c>
    </row>
    <row r="47" spans="1:20" ht="26.25" customHeight="1">
      <c r="A47" s="31" t="s">
        <v>22</v>
      </c>
      <c r="B47" s="40" t="s">
        <v>186</v>
      </c>
      <c r="C47" s="123">
        <f>CENTRALA!E48</f>
        <v>554</v>
      </c>
      <c r="D47" s="122">
        <f t="shared" si="0"/>
        <v>4193</v>
      </c>
      <c r="E47" s="123">
        <f>Dolnośląski!E48</f>
        <v>336</v>
      </c>
      <c r="F47" s="123">
        <f>KujawskoPomorski!E48</f>
        <v>240</v>
      </c>
      <c r="G47" s="123">
        <f>Lubelski!E48</f>
        <v>231</v>
      </c>
      <c r="H47" s="123">
        <f>Lubuski!E48</f>
        <v>123</v>
      </c>
      <c r="I47" s="123">
        <f>Łódzki!E48</f>
        <v>274</v>
      </c>
      <c r="J47" s="123">
        <f>Małopolski!E48</f>
        <v>283</v>
      </c>
      <c r="K47" s="123">
        <f>Mazowiecki!E48</f>
        <v>797</v>
      </c>
      <c r="L47" s="123">
        <f>Opolski!E48</f>
        <v>90</v>
      </c>
      <c r="M47" s="123">
        <f>Podkarpacki!E48</f>
        <v>224</v>
      </c>
      <c r="N47" s="123">
        <f>Podlaski!E48</f>
        <v>168</v>
      </c>
      <c r="O47" s="123">
        <f>Pomorski!E48</f>
        <v>237</v>
      </c>
      <c r="P47" s="123">
        <f>Śląski!E48</f>
        <v>304</v>
      </c>
      <c r="Q47" s="123">
        <f>Świętokrzyski!E48</f>
        <v>166</v>
      </c>
      <c r="R47" s="123">
        <f>WarmińskoMazurski!E48</f>
        <v>122</v>
      </c>
      <c r="S47" s="123">
        <f>Wielkopolski!E48</f>
        <v>425</v>
      </c>
      <c r="T47" s="123">
        <f>Zachodniopomorski!E48</f>
        <v>173</v>
      </c>
    </row>
    <row r="48" spans="1:20" ht="24.75" customHeight="1">
      <c r="A48" s="42" t="s">
        <v>187</v>
      </c>
      <c r="B48" s="43" t="s">
        <v>188</v>
      </c>
      <c r="C48" s="123" t="str">
        <f>CENTRALA!E49</f>
        <v>-</v>
      </c>
      <c r="D48" s="122">
        <f t="shared" si="0"/>
        <v>0</v>
      </c>
      <c r="E48" s="123" t="str">
        <f>Dolnośląski!E49</f>
        <v>-</v>
      </c>
      <c r="F48" s="123" t="str">
        <f>KujawskoPomorski!E49</f>
        <v>-</v>
      </c>
      <c r="G48" s="123" t="str">
        <f>Lubelski!E49</f>
        <v>-</v>
      </c>
      <c r="H48" s="123" t="str">
        <f>Lubuski!E49</f>
        <v>-</v>
      </c>
      <c r="I48" s="123" t="str">
        <f>Łódzki!E49</f>
        <v>-</v>
      </c>
      <c r="J48" s="123" t="str">
        <f>Małopolski!E49</f>
        <v>-</v>
      </c>
      <c r="K48" s="123" t="str">
        <f>Mazowiecki!E49</f>
        <v>-</v>
      </c>
      <c r="L48" s="123" t="str">
        <f>Opolski!E49</f>
        <v>-</v>
      </c>
      <c r="M48" s="123" t="str">
        <f>Podkarpacki!E49</f>
        <v>-</v>
      </c>
      <c r="N48" s="123" t="str">
        <f>Podlaski!E49</f>
        <v>-</v>
      </c>
      <c r="O48" s="123" t="str">
        <f>Pomorski!E49</f>
        <v>-</v>
      </c>
      <c r="P48" s="123" t="str">
        <f>Śląski!E49</f>
        <v>-</v>
      </c>
      <c r="Q48" s="123" t="str">
        <f>Świętokrzyski!E49</f>
        <v>-</v>
      </c>
      <c r="R48" s="123" t="str">
        <f>WarmińskoMazurski!E49</f>
        <v>-</v>
      </c>
      <c r="S48" s="123" t="str">
        <f>Wielkopolski!E49</f>
        <v>-</v>
      </c>
      <c r="T48" s="123" t="str">
        <f>Zachodniopomorski!E49</f>
        <v>-</v>
      </c>
    </row>
    <row r="49" spans="1:20" ht="23.25">
      <c r="A49" s="31" t="s">
        <v>23</v>
      </c>
      <c r="B49" s="41" t="s">
        <v>55</v>
      </c>
      <c r="C49" s="123">
        <f>CENTRALA!E50</f>
        <v>103</v>
      </c>
      <c r="D49" s="122">
        <f t="shared" si="0"/>
        <v>819</v>
      </c>
      <c r="E49" s="123">
        <f>Dolnośląski!E50</f>
        <v>66</v>
      </c>
      <c r="F49" s="123">
        <f>KujawskoPomorski!E50</f>
        <v>47</v>
      </c>
      <c r="G49" s="123">
        <f>Lubelski!E50</f>
        <v>46</v>
      </c>
      <c r="H49" s="123">
        <f>Lubuski!E50</f>
        <v>23</v>
      </c>
      <c r="I49" s="123">
        <f>Łódzki!E50</f>
        <v>54</v>
      </c>
      <c r="J49" s="123">
        <f>Małopolski!E50</f>
        <v>56</v>
      </c>
      <c r="K49" s="123">
        <f>Mazowiecki!E50</f>
        <v>157</v>
      </c>
      <c r="L49" s="123">
        <f>Opolski!E50</f>
        <v>17</v>
      </c>
      <c r="M49" s="123">
        <f>Podkarpacki!E50</f>
        <v>43</v>
      </c>
      <c r="N49" s="123">
        <f>Podlaski!E50</f>
        <v>33</v>
      </c>
      <c r="O49" s="123">
        <f>Pomorski!E50</f>
        <v>42</v>
      </c>
      <c r="P49" s="123">
        <f>Śląski!E50</f>
        <v>59</v>
      </c>
      <c r="Q49" s="123">
        <f>Świętokrzyski!E50</f>
        <v>33</v>
      </c>
      <c r="R49" s="123">
        <f>WarmińskoMazurski!E50</f>
        <v>24</v>
      </c>
      <c r="S49" s="123">
        <f>Wielkopolski!E50</f>
        <v>85</v>
      </c>
      <c r="T49" s="123">
        <f>Zachodniopomorski!E50</f>
        <v>34</v>
      </c>
    </row>
    <row r="50" spans="1:20" ht="24.75" customHeight="1">
      <c r="A50" s="42" t="s">
        <v>51</v>
      </c>
      <c r="B50" s="43" t="s">
        <v>47</v>
      </c>
      <c r="C50" s="123">
        <f>CENTRALA!E51</f>
        <v>89</v>
      </c>
      <c r="D50" s="122">
        <f t="shared" si="0"/>
        <v>720</v>
      </c>
      <c r="E50" s="123">
        <f>Dolnośląski!E51</f>
        <v>58</v>
      </c>
      <c r="F50" s="123">
        <f>KujawskoPomorski!E51</f>
        <v>41</v>
      </c>
      <c r="G50" s="123">
        <f>Lubelski!E51</f>
        <v>40</v>
      </c>
      <c r="H50" s="123">
        <f>Lubuski!E51</f>
        <v>20</v>
      </c>
      <c r="I50" s="123">
        <f>Łódzki!E51</f>
        <v>47</v>
      </c>
      <c r="J50" s="123">
        <f>Małopolski!E51</f>
        <v>49</v>
      </c>
      <c r="K50" s="123">
        <f>Mazowiecki!E51</f>
        <v>137</v>
      </c>
      <c r="L50" s="123">
        <f>Opolski!E51</f>
        <v>15</v>
      </c>
      <c r="M50" s="123">
        <f>Podkarpacki!E51</f>
        <v>38</v>
      </c>
      <c r="N50" s="123">
        <f>Podlaski!E51</f>
        <v>28</v>
      </c>
      <c r="O50" s="123">
        <f>Pomorski!E51</f>
        <v>41</v>
      </c>
      <c r="P50" s="123">
        <f>Śląski!E51</f>
        <v>52</v>
      </c>
      <c r="Q50" s="123">
        <f>Świętokrzyski!E51</f>
        <v>29</v>
      </c>
      <c r="R50" s="123">
        <f>WarmińskoMazurski!E51</f>
        <v>21</v>
      </c>
      <c r="S50" s="123">
        <f>Wielkopolski!E51</f>
        <v>74</v>
      </c>
      <c r="T50" s="123">
        <f>Zachodniopomorski!E51</f>
        <v>30</v>
      </c>
    </row>
    <row r="51" spans="1:20" ht="24.75" customHeight="1">
      <c r="A51" s="42" t="s">
        <v>52</v>
      </c>
      <c r="B51" s="43" t="s">
        <v>48</v>
      </c>
      <c r="C51" s="123">
        <f>CENTRALA!E52</f>
        <v>14</v>
      </c>
      <c r="D51" s="122">
        <f t="shared" si="0"/>
        <v>99</v>
      </c>
      <c r="E51" s="123">
        <f>Dolnośląski!E52</f>
        <v>8</v>
      </c>
      <c r="F51" s="123">
        <f>KujawskoPomorski!E52</f>
        <v>6</v>
      </c>
      <c r="G51" s="123">
        <f>Lubelski!E52</f>
        <v>6</v>
      </c>
      <c r="H51" s="123">
        <f>Lubuski!E52</f>
        <v>3</v>
      </c>
      <c r="I51" s="123">
        <f>Łódzki!E52</f>
        <v>7</v>
      </c>
      <c r="J51" s="123">
        <f>Małopolski!E52</f>
        <v>7</v>
      </c>
      <c r="K51" s="123">
        <f>Mazowiecki!E52</f>
        <v>20</v>
      </c>
      <c r="L51" s="123">
        <f>Opolski!E52</f>
        <v>2</v>
      </c>
      <c r="M51" s="123">
        <f>Podkarpacki!E52</f>
        <v>5</v>
      </c>
      <c r="N51" s="123">
        <f>Podlaski!E52</f>
        <v>5</v>
      </c>
      <c r="O51" s="123">
        <f>Pomorski!E52</f>
        <v>1</v>
      </c>
      <c r="P51" s="123">
        <f>Śląski!E52</f>
        <v>7</v>
      </c>
      <c r="Q51" s="123">
        <f>Świętokrzyski!E52</f>
        <v>4</v>
      </c>
      <c r="R51" s="123">
        <f>WarmińskoMazurski!E52</f>
        <v>3</v>
      </c>
      <c r="S51" s="123">
        <f>Wielkopolski!E52</f>
        <v>11</v>
      </c>
      <c r="T51" s="123">
        <f>Zachodniopomorski!E52</f>
        <v>4</v>
      </c>
    </row>
    <row r="52" spans="1:20" ht="24.75" customHeight="1">
      <c r="A52" s="42" t="s">
        <v>53</v>
      </c>
      <c r="B52" s="43" t="s">
        <v>49</v>
      </c>
      <c r="C52" s="123" t="str">
        <f>CENTRALA!E53</f>
        <v>-</v>
      </c>
      <c r="D52" s="122">
        <f t="shared" si="0"/>
        <v>0</v>
      </c>
      <c r="E52" s="123" t="str">
        <f>Dolnośląski!E53</f>
        <v>-</v>
      </c>
      <c r="F52" s="123" t="str">
        <f>KujawskoPomorski!E53</f>
        <v>-</v>
      </c>
      <c r="G52" s="123" t="str">
        <f>Lubelski!E53</f>
        <v>-</v>
      </c>
      <c r="H52" s="123" t="str">
        <f>Lubuski!E53</f>
        <v>-</v>
      </c>
      <c r="I52" s="123" t="str">
        <f>Łódzki!E53</f>
        <v>-</v>
      </c>
      <c r="J52" s="123" t="str">
        <f>Małopolski!E53</f>
        <v>-</v>
      </c>
      <c r="K52" s="123" t="str">
        <f>Mazowiecki!E53</f>
        <v>-</v>
      </c>
      <c r="L52" s="123" t="str">
        <f>Opolski!E53</f>
        <v>-</v>
      </c>
      <c r="M52" s="123" t="str">
        <f>Podkarpacki!E53</f>
        <v>-</v>
      </c>
      <c r="N52" s="123" t="str">
        <f>Podlaski!E53</f>
        <v>-</v>
      </c>
      <c r="O52" s="123" t="str">
        <f>Pomorski!E53</f>
        <v>-</v>
      </c>
      <c r="P52" s="123" t="str">
        <f>Śląski!E53</f>
        <v>-</v>
      </c>
      <c r="Q52" s="123" t="str">
        <f>Świętokrzyski!E53</f>
        <v>-</v>
      </c>
      <c r="R52" s="123" t="str">
        <f>WarmińskoMazurski!E53</f>
        <v>-</v>
      </c>
      <c r="S52" s="123" t="str">
        <f>Wielkopolski!E53</f>
        <v>-</v>
      </c>
      <c r="T52" s="123" t="str">
        <f>Zachodniopomorski!E53</f>
        <v>-</v>
      </c>
    </row>
    <row r="53" spans="1:20" ht="24.75" customHeight="1">
      <c r="A53" s="42" t="s">
        <v>54</v>
      </c>
      <c r="B53" s="43" t="s">
        <v>50</v>
      </c>
      <c r="C53" s="123" t="str">
        <f>CENTRALA!E54</f>
        <v>-</v>
      </c>
      <c r="D53" s="122">
        <f t="shared" si="0"/>
        <v>0</v>
      </c>
      <c r="E53" s="123" t="str">
        <f>Dolnośląski!E54</f>
        <v>-</v>
      </c>
      <c r="F53" s="123" t="str">
        <f>KujawskoPomorski!E54</f>
        <v>-</v>
      </c>
      <c r="G53" s="123" t="str">
        <f>Lubelski!E54</f>
        <v>-</v>
      </c>
      <c r="H53" s="123" t="str">
        <f>Lubuski!E54</f>
        <v>-</v>
      </c>
      <c r="I53" s="123" t="str">
        <f>Łódzki!E54</f>
        <v>-</v>
      </c>
      <c r="J53" s="123" t="str">
        <f>Małopolski!E54</f>
        <v>-</v>
      </c>
      <c r="K53" s="123" t="str">
        <f>Mazowiecki!E54</f>
        <v>-</v>
      </c>
      <c r="L53" s="123" t="str">
        <f>Opolski!E54</f>
        <v>-</v>
      </c>
      <c r="M53" s="123" t="str">
        <f>Podkarpacki!E54</f>
        <v>-</v>
      </c>
      <c r="N53" s="123" t="str">
        <f>Podlaski!E54</f>
        <v>-</v>
      </c>
      <c r="O53" s="123" t="str">
        <f>Pomorski!E54</f>
        <v>-</v>
      </c>
      <c r="P53" s="123" t="str">
        <f>Śląski!E54</f>
        <v>-</v>
      </c>
      <c r="Q53" s="123" t="str">
        <f>Świętokrzyski!E54</f>
        <v>-</v>
      </c>
      <c r="R53" s="123" t="str">
        <f>WarmińskoMazurski!E54</f>
        <v>-</v>
      </c>
      <c r="S53" s="123" t="str">
        <f>Wielkopolski!E54</f>
        <v>-</v>
      </c>
      <c r="T53" s="123" t="str">
        <f>Zachodniopomorski!E54</f>
        <v>-</v>
      </c>
    </row>
    <row r="54" spans="1:20" ht="26.25" customHeight="1">
      <c r="A54" s="31" t="s">
        <v>24</v>
      </c>
      <c r="B54" s="40" t="s">
        <v>25</v>
      </c>
      <c r="C54" s="123" t="str">
        <f>CENTRALA!E55</f>
        <v>-</v>
      </c>
      <c r="D54" s="122">
        <f t="shared" si="0"/>
        <v>0</v>
      </c>
      <c r="E54" s="123" t="str">
        <f>Dolnośląski!E55</f>
        <v>-</v>
      </c>
      <c r="F54" s="123" t="str">
        <f>KujawskoPomorski!E55</f>
        <v>-</v>
      </c>
      <c r="G54" s="123" t="str">
        <f>Lubelski!E55</f>
        <v>-</v>
      </c>
      <c r="H54" s="123" t="str">
        <f>Lubuski!E55</f>
        <v>-</v>
      </c>
      <c r="I54" s="123" t="str">
        <f>Łódzki!E55</f>
        <v>-</v>
      </c>
      <c r="J54" s="123" t="str">
        <f>Małopolski!E55</f>
        <v>-</v>
      </c>
      <c r="K54" s="123" t="str">
        <f>Mazowiecki!E55</f>
        <v>-</v>
      </c>
      <c r="L54" s="123" t="str">
        <f>Opolski!E55</f>
        <v>-</v>
      </c>
      <c r="M54" s="123" t="str">
        <f>Podkarpacki!E55</f>
        <v>-</v>
      </c>
      <c r="N54" s="123" t="str">
        <f>Podlaski!E55</f>
        <v>-</v>
      </c>
      <c r="O54" s="123" t="str">
        <f>Pomorski!E55</f>
        <v>-</v>
      </c>
      <c r="P54" s="123" t="str">
        <f>Śląski!E55</f>
        <v>-</v>
      </c>
      <c r="Q54" s="123" t="str">
        <f>Świętokrzyski!E55</f>
        <v>-</v>
      </c>
      <c r="R54" s="123" t="str">
        <f>WarmińskoMazurski!E55</f>
        <v>-</v>
      </c>
      <c r="S54" s="123" t="str">
        <f>Wielkopolski!E55</f>
        <v>-</v>
      </c>
      <c r="T54" s="123" t="str">
        <f>Zachodniopomorski!E55</f>
        <v>-</v>
      </c>
    </row>
    <row r="55" spans="1:20" ht="26.25" customHeight="1">
      <c r="A55" s="31" t="s">
        <v>26</v>
      </c>
      <c r="B55" s="40" t="s">
        <v>189</v>
      </c>
      <c r="C55" s="123" t="str">
        <f>CENTRALA!E56</f>
        <v>-</v>
      </c>
      <c r="D55" s="122">
        <f>SUM(E55:T55)</f>
        <v>0</v>
      </c>
      <c r="E55" s="123" t="str">
        <f>Dolnośląski!E56</f>
        <v>-</v>
      </c>
      <c r="F55" s="123" t="str">
        <f>KujawskoPomorski!E56</f>
        <v>-</v>
      </c>
      <c r="G55" s="123" t="str">
        <f>Lubelski!E56</f>
        <v>-</v>
      </c>
      <c r="H55" s="123" t="str">
        <f>Lubuski!E56</f>
        <v>-</v>
      </c>
      <c r="I55" s="123" t="str">
        <f>Łódzki!E56</f>
        <v>-</v>
      </c>
      <c r="J55" s="123" t="str">
        <f>Małopolski!E56</f>
        <v>-</v>
      </c>
      <c r="K55" s="123" t="str">
        <f>Mazowiecki!E56</f>
        <v>-</v>
      </c>
      <c r="L55" s="123" t="str">
        <f>Opolski!E56</f>
        <v>-</v>
      </c>
      <c r="M55" s="123" t="str">
        <f>Podkarpacki!E56</f>
        <v>-</v>
      </c>
      <c r="N55" s="123" t="str">
        <f>Podlaski!E56</f>
        <v>-</v>
      </c>
      <c r="O55" s="123" t="str">
        <f>Pomorski!E56</f>
        <v>-</v>
      </c>
      <c r="P55" s="123" t="str">
        <f>Śląski!E56</f>
        <v>-</v>
      </c>
      <c r="Q55" s="123" t="str">
        <f>Świętokrzyski!E56</f>
        <v>-</v>
      </c>
      <c r="R55" s="123" t="str">
        <f>WarmińskoMazurski!E56</f>
        <v>-</v>
      </c>
      <c r="S55" s="123" t="str">
        <f>Wielkopolski!E56</f>
        <v>-</v>
      </c>
      <c r="T55" s="123" t="str">
        <f>Zachodniopomorski!E56</f>
        <v>-</v>
      </c>
    </row>
    <row r="56" spans="1:20" ht="26.25" customHeight="1">
      <c r="A56" s="31" t="s">
        <v>27</v>
      </c>
      <c r="B56" s="40" t="s">
        <v>28</v>
      </c>
      <c r="C56" s="123" t="str">
        <f>CENTRALA!E57</f>
        <v>-</v>
      </c>
      <c r="D56" s="122">
        <f t="shared" si="0"/>
        <v>0</v>
      </c>
      <c r="E56" s="123" t="str">
        <f>Dolnośląski!E57</f>
        <v>-</v>
      </c>
      <c r="F56" s="123" t="str">
        <f>KujawskoPomorski!E57</f>
        <v>-</v>
      </c>
      <c r="G56" s="123" t="str">
        <f>Lubelski!E57</f>
        <v>-</v>
      </c>
      <c r="H56" s="123" t="str">
        <f>Lubuski!E57</f>
        <v>-</v>
      </c>
      <c r="I56" s="123" t="str">
        <f>Łódzki!E57</f>
        <v>-</v>
      </c>
      <c r="J56" s="123" t="str">
        <f>Małopolski!E57</f>
        <v>-</v>
      </c>
      <c r="K56" s="123" t="str">
        <f>Mazowiecki!E57</f>
        <v>-</v>
      </c>
      <c r="L56" s="123" t="str">
        <f>Opolski!E57</f>
        <v>-</v>
      </c>
      <c r="M56" s="123" t="str">
        <f>Podkarpacki!E57</f>
        <v>-</v>
      </c>
      <c r="N56" s="123" t="str">
        <f>Podlaski!E57</f>
        <v>-</v>
      </c>
      <c r="O56" s="123" t="str">
        <f>Pomorski!E57</f>
        <v>-</v>
      </c>
      <c r="P56" s="123" t="str">
        <f>Śląski!E57</f>
        <v>-</v>
      </c>
      <c r="Q56" s="123" t="str">
        <f>Świętokrzyski!E57</f>
        <v>-</v>
      </c>
      <c r="R56" s="123" t="str">
        <f>WarmińskoMazurski!E57</f>
        <v>-</v>
      </c>
      <c r="S56" s="123" t="str">
        <f>Wielkopolski!E57</f>
        <v>-</v>
      </c>
      <c r="T56" s="123" t="str">
        <f>Zachodniopomorski!E57</f>
        <v>-</v>
      </c>
    </row>
    <row r="57" spans="1:20" ht="22.5">
      <c r="A57" s="128" t="s">
        <v>29</v>
      </c>
      <c r="B57" s="126" t="s">
        <v>190</v>
      </c>
      <c r="C57" s="121">
        <f>CENTRALA!E58</f>
        <v>-5669</v>
      </c>
      <c r="D57" s="129">
        <f>SUM(E57:T57)</f>
        <v>0</v>
      </c>
      <c r="E57" s="121" t="str">
        <f>Dolnośląski!E58</f>
        <v>-</v>
      </c>
      <c r="F57" s="121" t="str">
        <f>KujawskoPomorski!E58</f>
        <v>-</v>
      </c>
      <c r="G57" s="121" t="str">
        <f>Lubelski!E58</f>
        <v>-</v>
      </c>
      <c r="H57" s="121" t="str">
        <f>Lubuski!E58</f>
        <v>-</v>
      </c>
      <c r="I57" s="121" t="str">
        <f>Łódzki!E58</f>
        <v>-</v>
      </c>
      <c r="J57" s="121" t="str">
        <f>Małopolski!E58</f>
        <v>-</v>
      </c>
      <c r="K57" s="121" t="str">
        <f>Mazowiecki!E58</f>
        <v>-</v>
      </c>
      <c r="L57" s="121" t="str">
        <f>Opolski!E58</f>
        <v>-</v>
      </c>
      <c r="M57" s="121" t="str">
        <f>Podkarpacki!E58</f>
        <v>-</v>
      </c>
      <c r="N57" s="121" t="str">
        <f>Podlaski!E58</f>
        <v>-</v>
      </c>
      <c r="O57" s="121" t="str">
        <f>Pomorski!E58</f>
        <v>-</v>
      </c>
      <c r="P57" s="121" t="str">
        <f>Śląski!E58</f>
        <v>-</v>
      </c>
      <c r="Q57" s="121" t="str">
        <f>Świętokrzyski!E58</f>
        <v>-</v>
      </c>
      <c r="R57" s="121" t="str">
        <f>WarmińskoMazurski!E58</f>
        <v>-</v>
      </c>
      <c r="S57" s="121" t="str">
        <f>Wielkopolski!E58</f>
        <v>-</v>
      </c>
      <c r="T57" s="121" t="str">
        <f>Zachodniopomorski!E58</f>
        <v>-</v>
      </c>
    </row>
    <row r="58" spans="1:20" ht="40.5">
      <c r="A58" s="31" t="s">
        <v>104</v>
      </c>
      <c r="B58" s="40" t="s">
        <v>126</v>
      </c>
      <c r="C58" s="123" t="str">
        <f>CENTRALA!E59</f>
        <v>-</v>
      </c>
      <c r="D58" s="122">
        <f t="shared" si="0"/>
        <v>0</v>
      </c>
      <c r="E58" s="123" t="str">
        <f>Dolnośląski!E59</f>
        <v>-</v>
      </c>
      <c r="F58" s="123" t="str">
        <f>KujawskoPomorski!E59</f>
        <v>-</v>
      </c>
      <c r="G58" s="123" t="str">
        <f>Lubelski!E59</f>
        <v>-</v>
      </c>
      <c r="H58" s="123" t="str">
        <f>Lubuski!E59</f>
        <v>-</v>
      </c>
      <c r="I58" s="123" t="str">
        <f>Łódzki!E59</f>
        <v>-</v>
      </c>
      <c r="J58" s="123" t="str">
        <f>Małopolski!E59</f>
        <v>-</v>
      </c>
      <c r="K58" s="123" t="str">
        <f>Mazowiecki!E59</f>
        <v>-</v>
      </c>
      <c r="L58" s="123" t="str">
        <f>Opolski!E59</f>
        <v>-</v>
      </c>
      <c r="M58" s="123" t="str">
        <f>Podkarpacki!E59</f>
        <v>-</v>
      </c>
      <c r="N58" s="123" t="str">
        <f>Podlaski!E59</f>
        <v>-</v>
      </c>
      <c r="O58" s="123" t="str">
        <f>Pomorski!E59</f>
        <v>-</v>
      </c>
      <c r="P58" s="123" t="str">
        <f>Śląski!E59</f>
        <v>-</v>
      </c>
      <c r="Q58" s="123" t="str">
        <f>Świętokrzyski!E59</f>
        <v>-</v>
      </c>
      <c r="R58" s="123" t="str">
        <f>WarmińskoMazurski!E59</f>
        <v>-</v>
      </c>
      <c r="S58" s="123" t="str">
        <f>Wielkopolski!E59</f>
        <v>-</v>
      </c>
      <c r="T58" s="123" t="str">
        <f>Zachodniopomorski!E59</f>
        <v>-</v>
      </c>
    </row>
    <row r="59" spans="1:20" ht="23.25">
      <c r="A59" s="31" t="s">
        <v>30</v>
      </c>
      <c r="B59" s="40" t="s">
        <v>57</v>
      </c>
      <c r="C59" s="123" t="str">
        <f>CENTRALA!E60</f>
        <v>-</v>
      </c>
      <c r="D59" s="122">
        <f t="shared" si="0"/>
        <v>0</v>
      </c>
      <c r="E59" s="123" t="str">
        <f>Dolnośląski!E60</f>
        <v>-</v>
      </c>
      <c r="F59" s="123" t="str">
        <f>KujawskoPomorski!E60</f>
        <v>-</v>
      </c>
      <c r="G59" s="123" t="str">
        <f>Lubelski!E60</f>
        <v>-</v>
      </c>
      <c r="H59" s="123" t="str">
        <f>Lubuski!E60</f>
        <v>-</v>
      </c>
      <c r="I59" s="123" t="str">
        <f>Łódzki!E60</f>
        <v>-</v>
      </c>
      <c r="J59" s="123" t="str">
        <f>Małopolski!E60</f>
        <v>-</v>
      </c>
      <c r="K59" s="123" t="str">
        <f>Mazowiecki!E60</f>
        <v>-</v>
      </c>
      <c r="L59" s="123" t="str">
        <f>Opolski!E60</f>
        <v>-</v>
      </c>
      <c r="M59" s="123" t="str">
        <f>Podkarpacki!E60</f>
        <v>-</v>
      </c>
      <c r="N59" s="123" t="str">
        <f>Podlaski!E60</f>
        <v>-</v>
      </c>
      <c r="O59" s="123" t="str">
        <f>Pomorski!E60</f>
        <v>-</v>
      </c>
      <c r="P59" s="123" t="str">
        <f>Śląski!E60</f>
        <v>-</v>
      </c>
      <c r="Q59" s="123" t="str">
        <f>Świętokrzyski!E60</f>
        <v>-</v>
      </c>
      <c r="R59" s="123" t="str">
        <f>WarmińskoMazurski!E60</f>
        <v>-</v>
      </c>
      <c r="S59" s="123" t="str">
        <f>Wielkopolski!E60</f>
        <v>-</v>
      </c>
      <c r="T59" s="123" t="str">
        <f>Zachodniopomorski!E60</f>
        <v>-</v>
      </c>
    </row>
    <row r="60" spans="1:20" ht="23.25">
      <c r="A60" s="31" t="s">
        <v>31</v>
      </c>
      <c r="B60" s="40" t="s">
        <v>106</v>
      </c>
      <c r="C60" s="123">
        <f>CENTRALA!E61</f>
        <v>-5669</v>
      </c>
      <c r="D60" s="122">
        <f t="shared" si="0"/>
        <v>0</v>
      </c>
      <c r="E60" s="123" t="str">
        <f>Dolnośląski!E61</f>
        <v>-</v>
      </c>
      <c r="F60" s="123" t="str">
        <f>KujawskoPomorski!E61</f>
        <v>-</v>
      </c>
      <c r="G60" s="123" t="str">
        <f>Lubelski!E61</f>
        <v>-</v>
      </c>
      <c r="H60" s="123" t="str">
        <f>Lubuski!E61</f>
        <v>-</v>
      </c>
      <c r="I60" s="123" t="str">
        <f>Łódzki!E61</f>
        <v>-</v>
      </c>
      <c r="J60" s="123" t="str">
        <f>Małopolski!E61</f>
        <v>-</v>
      </c>
      <c r="K60" s="123" t="str">
        <f>Mazowiecki!E61</f>
        <v>-</v>
      </c>
      <c r="L60" s="123" t="str">
        <f>Opolski!E61</f>
        <v>-</v>
      </c>
      <c r="M60" s="123" t="str">
        <f>Podkarpacki!E61</f>
        <v>-</v>
      </c>
      <c r="N60" s="123" t="str">
        <f>Podlaski!E61</f>
        <v>-</v>
      </c>
      <c r="O60" s="123" t="str">
        <f>Pomorski!E61</f>
        <v>-</v>
      </c>
      <c r="P60" s="123" t="str">
        <f>Śląski!E61</f>
        <v>-</v>
      </c>
      <c r="Q60" s="123" t="str">
        <f>Świętokrzyski!E61</f>
        <v>-</v>
      </c>
      <c r="R60" s="123" t="str">
        <f>WarmińskoMazurski!E61</f>
        <v>-</v>
      </c>
      <c r="S60" s="123" t="str">
        <f>Wielkopolski!E61</f>
        <v>-</v>
      </c>
      <c r="T60" s="123" t="str">
        <f>Zachodniopomorski!E61</f>
        <v>-</v>
      </c>
    </row>
    <row r="61" spans="1:20" ht="23.25">
      <c r="A61" s="31" t="s">
        <v>105</v>
      </c>
      <c r="B61" s="40" t="s">
        <v>107</v>
      </c>
      <c r="C61" s="123" t="str">
        <f>CENTRALA!E62</f>
        <v>-</v>
      </c>
      <c r="D61" s="122">
        <f t="shared" si="0"/>
        <v>0</v>
      </c>
      <c r="E61" s="123" t="str">
        <f>Dolnośląski!E62</f>
        <v>-</v>
      </c>
      <c r="F61" s="123" t="str">
        <f>KujawskoPomorski!E62</f>
        <v>-</v>
      </c>
      <c r="G61" s="123" t="str">
        <f>Lubelski!E62</f>
        <v>-</v>
      </c>
      <c r="H61" s="123" t="str">
        <f>Lubuski!E62</f>
        <v>-</v>
      </c>
      <c r="I61" s="123" t="str">
        <f>Łódzki!E62</f>
        <v>-</v>
      </c>
      <c r="J61" s="123" t="str">
        <f>Małopolski!E62</f>
        <v>-</v>
      </c>
      <c r="K61" s="123" t="str">
        <f>Mazowiecki!E62</f>
        <v>-</v>
      </c>
      <c r="L61" s="123" t="str">
        <f>Opolski!E62</f>
        <v>-</v>
      </c>
      <c r="M61" s="123" t="str">
        <f>Podkarpacki!E62</f>
        <v>-</v>
      </c>
      <c r="N61" s="123" t="str">
        <f>Podlaski!E62</f>
        <v>-</v>
      </c>
      <c r="O61" s="123" t="str">
        <f>Pomorski!E62</f>
        <v>-</v>
      </c>
      <c r="P61" s="123" t="str">
        <f>Śląski!E62</f>
        <v>-</v>
      </c>
      <c r="Q61" s="123" t="str">
        <f>Świętokrzyski!E62</f>
        <v>-</v>
      </c>
      <c r="R61" s="123" t="str">
        <f>WarmińskoMazurski!E62</f>
        <v>-</v>
      </c>
      <c r="S61" s="123" t="str">
        <f>Wielkopolski!E62</f>
        <v>-</v>
      </c>
      <c r="T61" s="123" t="str">
        <f>Zachodniopomorski!E62</f>
        <v>-</v>
      </c>
    </row>
    <row r="62" spans="1:20" ht="22.5" hidden="1">
      <c r="A62" s="128" t="s">
        <v>112</v>
      </c>
      <c r="B62" s="126" t="s">
        <v>133</v>
      </c>
      <c r="C62" s="121" t="str">
        <f>CENTRALA!E63</f>
        <v>-</v>
      </c>
      <c r="D62" s="127">
        <f t="shared" si="0"/>
        <v>0</v>
      </c>
      <c r="E62" s="121" t="str">
        <f>Dolnośląski!E63</f>
        <v>-</v>
      </c>
      <c r="F62" s="121" t="str">
        <f>KujawskoPomorski!E63</f>
        <v>-</v>
      </c>
      <c r="G62" s="121" t="str">
        <f>Lubelski!E63</f>
        <v>-</v>
      </c>
      <c r="H62" s="121" t="str">
        <f>Lubuski!E63</f>
        <v>-</v>
      </c>
      <c r="I62" s="121" t="str">
        <f>Łódzki!E63</f>
        <v>-</v>
      </c>
      <c r="J62" s="121" t="str">
        <f>Małopolski!E63</f>
        <v>-</v>
      </c>
      <c r="K62" s="121" t="str">
        <f>Mazowiecki!E63</f>
        <v>-</v>
      </c>
      <c r="L62" s="121" t="str">
        <f>Opolski!E63</f>
        <v>-</v>
      </c>
      <c r="M62" s="121" t="str">
        <f>Podkarpacki!E63</f>
        <v>-</v>
      </c>
      <c r="N62" s="121" t="str">
        <f>Podlaski!E63</f>
        <v>-</v>
      </c>
      <c r="O62" s="121" t="str">
        <f>Pomorski!E63</f>
        <v>-</v>
      </c>
      <c r="P62" s="121" t="str">
        <f>Śląski!E63</f>
        <v>-</v>
      </c>
      <c r="Q62" s="121" t="str">
        <f>Świętokrzyski!E63</f>
        <v>-</v>
      </c>
      <c r="R62" s="121" t="str">
        <f>WarmińskoMazurski!E63</f>
        <v>-</v>
      </c>
      <c r="S62" s="121" t="str">
        <f>Wielkopolski!E63</f>
        <v>-</v>
      </c>
      <c r="T62" s="121" t="str">
        <f>Zachodniopomorski!E63</f>
        <v>-</v>
      </c>
    </row>
    <row r="68" spans="15:20" ht="42.75" customHeight="1">
      <c r="O68" s="131"/>
      <c r="P68" s="131"/>
      <c r="Q68" s="131"/>
      <c r="R68" s="131"/>
      <c r="S68" s="131"/>
      <c r="T68" s="131"/>
    </row>
    <row r="69" spans="16:18" ht="23.25">
      <c r="P69" s="131"/>
      <c r="Q69" s="131"/>
      <c r="R69" s="131"/>
    </row>
    <row r="70" spans="16:18" ht="23.25">
      <c r="P70" s="131"/>
      <c r="Q70" s="131"/>
      <c r="R70" s="131"/>
    </row>
    <row r="71" spans="16:18" ht="23.25">
      <c r="P71" s="131"/>
      <c r="Q71" s="131"/>
      <c r="R71" s="131"/>
    </row>
    <row r="72" spans="16:19" ht="23.25">
      <c r="P72" s="131"/>
      <c r="Q72" s="131"/>
      <c r="R72" s="131"/>
      <c r="S72" s="131"/>
    </row>
    <row r="73" spans="16:18" ht="23.25">
      <c r="P73" s="131"/>
      <c r="Q73" s="131"/>
      <c r="R73" s="131"/>
    </row>
    <row r="74" spans="16:18" ht="23.25">
      <c r="P74" s="131"/>
      <c r="Q74" s="131"/>
      <c r="R74" s="131"/>
    </row>
    <row r="75" spans="16:18" ht="23.25">
      <c r="P75" s="131"/>
      <c r="Q75" s="131"/>
      <c r="R75" s="131"/>
    </row>
    <row r="76" spans="16:18" ht="23.25">
      <c r="P76" s="131"/>
      <c r="Q76" s="131"/>
      <c r="R76" s="131"/>
    </row>
    <row r="77" spans="16:18" ht="23.25">
      <c r="P77" s="131"/>
      <c r="Q77" s="131"/>
      <c r="R77" s="131"/>
    </row>
    <row r="78" spans="16:18" ht="23.25">
      <c r="P78" s="131"/>
      <c r="Q78" s="131"/>
      <c r="R78" s="131"/>
    </row>
    <row r="79" spans="16:18" ht="23.25">
      <c r="P79" s="131"/>
      <c r="Q79" s="131"/>
      <c r="R79" s="131"/>
    </row>
    <row r="80" spans="16:18" ht="23.25">
      <c r="P80" s="131"/>
      <c r="Q80" s="131"/>
      <c r="R80" s="131"/>
    </row>
    <row r="81" spans="16:18" ht="23.25">
      <c r="P81" s="131"/>
      <c r="Q81" s="131"/>
      <c r="R81" s="131"/>
    </row>
    <row r="82" spans="16:18" ht="23.25">
      <c r="P82" s="131"/>
      <c r="Q82" s="131"/>
      <c r="R82" s="131"/>
    </row>
    <row r="83" spans="16:18" ht="23.25">
      <c r="P83" s="131"/>
      <c r="Q83" s="131"/>
      <c r="R83" s="131"/>
    </row>
    <row r="84" spans="16:18" ht="23.25">
      <c r="P84" s="131"/>
      <c r="Q84" s="131"/>
      <c r="R84" s="131"/>
    </row>
    <row r="85" spans="16:18" ht="23.25">
      <c r="P85" s="131"/>
      <c r="Q85" s="131"/>
      <c r="R85" s="131"/>
    </row>
  </sheetData>
  <sheetProtection/>
  <mergeCells count="1">
    <mergeCell ref="A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60" zoomScaleSheetLayoutView="55" zoomScalePageLayoutView="0" workbookViewId="0" topLeftCell="A1">
      <pane xSplit="2" ySplit="7" topLeftCell="C41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202</v>
      </c>
      <c r="B2" s="89"/>
      <c r="C2" s="89"/>
    </row>
    <row r="3" spans="1:6" ht="33" customHeight="1">
      <c r="A3" s="8"/>
      <c r="B3" s="9"/>
      <c r="C3" s="88"/>
      <c r="D3" s="130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13">
        <f>C8+C9+C10+C15+C16+C17+C18+C19+C20+C21+C22+C23+C24+C25+C29+C30+C32+C33</f>
        <v>62741696</v>
      </c>
      <c r="D7" s="13">
        <f>D8+D9+D10+D15+D16+D17+D18+D19+D20+D21+D22+D23+D24+D25+D29+D30+D32+D33</f>
        <v>62741696</v>
      </c>
      <c r="E7" s="13" t="str">
        <f>IF(C7=D7,"-",D7-C7)</f>
        <v>-</v>
      </c>
      <c r="F7" s="100">
        <f>IF(C7=0,"-",D7/C7)</f>
        <v>1</v>
      </c>
      <c r="G7" s="99"/>
      <c r="H7" s="99"/>
    </row>
    <row r="8" spans="1:8" ht="33" customHeight="1">
      <c r="A8" s="29" t="s">
        <v>1</v>
      </c>
      <c r="B8" s="78" t="s">
        <v>138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7658782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7658782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5282551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5282551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30155165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30155165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2310764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2310764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2080509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2080509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1379126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1379126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622600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622600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2281869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2281869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2069102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2069102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1085969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1085969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352505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352505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1815812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1815812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622627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622627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47098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47098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177897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177897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1676611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1676611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822872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822872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8197974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8197974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8159247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8159247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29022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29022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9705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9705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494862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494862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2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2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1839892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10901083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485822</v>
      </c>
      <c r="D37" s="24">
        <f>D38+D39+D40+D48+D50+D56+D57+D55</f>
        <v>490834</v>
      </c>
      <c r="E37" s="13">
        <f t="shared" si="0"/>
        <v>5012</v>
      </c>
      <c r="F37" s="104">
        <f t="shared" si="1"/>
        <v>1.0103</v>
      </c>
      <c r="H37" s="99"/>
    </row>
    <row r="38" spans="1:8" ht="28.5" customHeight="1">
      <c r="A38" s="31" t="s">
        <v>17</v>
      </c>
      <c r="B38" s="40" t="s">
        <v>18</v>
      </c>
      <c r="C38" s="7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21582</v>
      </c>
      <c r="D38" s="7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21582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63414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63414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4303</v>
      </c>
      <c r="D40" s="85">
        <f>D41+D43+D44+D45+D46+D47</f>
        <v>4303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77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533</v>
      </c>
      <c r="D41" s="77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533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507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507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265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265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30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30</v>
      </c>
      <c r="E44" s="101" t="str">
        <f t="shared" si="0"/>
        <v>-</v>
      </c>
      <c r="F44" s="102">
        <f t="shared" si="1"/>
        <v>1</v>
      </c>
      <c r="H44" s="99"/>
    </row>
    <row r="45" spans="1:8" ht="28.5" customHeight="1">
      <c r="A45" s="42" t="s">
        <v>44</v>
      </c>
      <c r="B45" s="43" t="s">
        <v>37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3257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3257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218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218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274135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278328</v>
      </c>
      <c r="E48" s="101">
        <f t="shared" si="0"/>
        <v>4193</v>
      </c>
      <c r="F48" s="102">
        <f t="shared" si="1"/>
        <v>1.0153</v>
      </c>
      <c r="H48" s="99"/>
    </row>
    <row r="49" spans="1:8" ht="28.5" customHeight="1">
      <c r="A49" s="42" t="s">
        <v>187</v>
      </c>
      <c r="B49" s="43" t="s">
        <v>188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1110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1110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77">
        <f>C51+C52+C53+C54</f>
        <v>60790</v>
      </c>
      <c r="D50" s="77">
        <f>D51+D52+D53+D54</f>
        <v>61609</v>
      </c>
      <c r="E50" s="101">
        <f t="shared" si="0"/>
        <v>819</v>
      </c>
      <c r="F50" s="102">
        <f t="shared" si="1"/>
        <v>1.0135</v>
      </c>
      <c r="H50" s="99"/>
    </row>
    <row r="51" spans="1:8" ht="28.5" customHeight="1">
      <c r="A51" s="42" t="s">
        <v>51</v>
      </c>
      <c r="B51" s="43" t="s">
        <v>47</v>
      </c>
      <c r="C51" s="77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46976</v>
      </c>
      <c r="D51" s="77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47696</v>
      </c>
      <c r="E51" s="101">
        <f t="shared" si="0"/>
        <v>720</v>
      </c>
      <c r="F51" s="102">
        <f t="shared" si="1"/>
        <v>1.0153</v>
      </c>
      <c r="H51" s="99"/>
    </row>
    <row r="52" spans="1:8" ht="28.5" customHeight="1">
      <c r="A52" s="42" t="s">
        <v>52</v>
      </c>
      <c r="B52" s="43" t="s">
        <v>48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6617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6716</v>
      </c>
      <c r="E52" s="101">
        <f t="shared" si="0"/>
        <v>99</v>
      </c>
      <c r="F52" s="102">
        <f t="shared" si="1"/>
        <v>1.015</v>
      </c>
      <c r="H52" s="99"/>
    </row>
    <row r="53" spans="1:8" ht="28.5" customHeight="1">
      <c r="A53" s="42" t="s">
        <v>53</v>
      </c>
      <c r="B53" s="43" t="s">
        <v>49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7197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7197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56195</v>
      </c>
      <c r="D56" s="81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56195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77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5403</v>
      </c>
      <c r="D57" s="77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5403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341660</v>
      </c>
      <c r="D58" s="83">
        <f>D59+D60+D61+D62</f>
        <v>341660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77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873</v>
      </c>
      <c r="D59" s="77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873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319554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319554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21233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21233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85709</v>
      </c>
      <c r="D63" s="8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85709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 C11 C8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ySplit="7" topLeftCell="A41" activePane="bottomLeft" state="frozen"/>
      <selection pane="topLeft" activeCell="G1" sqref="G1:H65536"/>
      <selection pane="bottomLef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13.25390625" style="2" customWidth="1"/>
    <col min="8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63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4764948</v>
      </c>
      <c r="D7" s="16">
        <f>D8+D9+D10+D15+D16+D17+D18+D19+D20+D21+D22+D23+D24+D25+D29+D30+D32+D33</f>
        <v>4764948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573015</v>
      </c>
      <c r="D8" s="25">
        <f>C8</f>
        <v>573015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404764</v>
      </c>
      <c r="D9" s="25">
        <f aca="true" t="shared" si="2" ref="D9:D33">C9</f>
        <v>404764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2261398</v>
      </c>
      <c r="D10" s="25">
        <f t="shared" si="2"/>
        <v>2261398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161054</v>
      </c>
      <c r="D11" s="25">
        <f t="shared" si="2"/>
        <v>161054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151605</v>
      </c>
      <c r="D12" s="25">
        <f t="shared" si="2"/>
        <v>151605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120116</v>
      </c>
      <c r="D13" s="25">
        <f t="shared" si="2"/>
        <v>120116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56725</v>
      </c>
      <c r="D14" s="25">
        <f t="shared" si="2"/>
        <v>56725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174624</v>
      </c>
      <c r="D15" s="25">
        <f t="shared" si="2"/>
        <v>174624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159536</v>
      </c>
      <c r="D16" s="25">
        <f t="shared" si="2"/>
        <v>159536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91000</v>
      </c>
      <c r="D17" s="25">
        <f t="shared" si="2"/>
        <v>91000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27106</v>
      </c>
      <c r="D18" s="25">
        <f t="shared" si="2"/>
        <v>27106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120806</v>
      </c>
      <c r="D19" s="25">
        <f t="shared" si="2"/>
        <v>120806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60632</v>
      </c>
      <c r="D20" s="25">
        <f t="shared" si="2"/>
        <v>60632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4401</v>
      </c>
      <c r="D21" s="25">
        <f t="shared" si="2"/>
        <v>4401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16115</v>
      </c>
      <c r="D22" s="25">
        <f t="shared" si="2"/>
        <v>16115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122472</v>
      </c>
      <c r="D23" s="25">
        <f t="shared" si="2"/>
        <v>122472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65700</v>
      </c>
      <c r="D24" s="25">
        <f t="shared" si="2"/>
        <v>65700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631982</v>
      </c>
      <c r="D25" s="81">
        <f>SUM(D26:D28)</f>
        <v>631982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629982</v>
      </c>
      <c r="D26" s="25">
        <f t="shared" si="2"/>
        <v>629982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1000</v>
      </c>
      <c r="D27" s="25">
        <f t="shared" si="2"/>
        <v>1000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1000</v>
      </c>
      <c r="D28" s="25">
        <f t="shared" si="2"/>
        <v>1000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51397</v>
      </c>
      <c r="D33" s="25">
        <f t="shared" si="2"/>
        <v>51397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139322</v>
      </c>
      <c r="D35" s="96">
        <f>C35</f>
        <v>139322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840312</v>
      </c>
      <c r="D36" s="84">
        <f>D12+D14+D25+D31</f>
        <v>840312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35164</v>
      </c>
      <c r="D37" s="24">
        <f>D38+D39+D40+D48+D50+D56+D57+D55</f>
        <v>35566</v>
      </c>
      <c r="E37" s="13">
        <f t="shared" si="0"/>
        <v>402</v>
      </c>
      <c r="F37" s="104">
        <f t="shared" si="1"/>
        <v>1.0114</v>
      </c>
      <c r="H37" s="99"/>
    </row>
    <row r="38" spans="1:8" ht="28.5" customHeight="1">
      <c r="A38" s="31" t="s">
        <v>17</v>
      </c>
      <c r="B38" s="40" t="s">
        <v>18</v>
      </c>
      <c r="C38" s="81">
        <v>1675</v>
      </c>
      <c r="D38" s="85">
        <f>C38</f>
        <v>1675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4002</v>
      </c>
      <c r="D39" s="85">
        <f>C39</f>
        <v>4002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598</v>
      </c>
      <c r="D40" s="85">
        <f>D41+D43+D44+D45+D46+D47</f>
        <v>598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88</v>
      </c>
      <c r="D41" s="85">
        <f>C41</f>
        <v>88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65</v>
      </c>
      <c r="D42" s="85">
        <f aca="true" t="shared" si="3" ref="D42:D61">C42</f>
        <v>65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40</v>
      </c>
      <c r="D43" s="85">
        <f t="shared" si="3"/>
        <v>40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1</v>
      </c>
      <c r="D44" s="85">
        <f t="shared" si="3"/>
        <v>1</v>
      </c>
      <c r="E44" s="101" t="str">
        <f t="shared" si="0"/>
        <v>-</v>
      </c>
      <c r="F44" s="102">
        <f t="shared" si="1"/>
        <v>1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468</v>
      </c>
      <c r="D46" s="85">
        <f t="shared" si="3"/>
        <v>468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1</v>
      </c>
      <c r="D47" s="85">
        <f>C47</f>
        <v>1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19755</v>
      </c>
      <c r="D48" s="85">
        <f>C48+336</f>
        <v>20091</v>
      </c>
      <c r="E48" s="101">
        <f t="shared" si="0"/>
        <v>336</v>
      </c>
      <c r="F48" s="102">
        <f t="shared" si="1"/>
        <v>1.017</v>
      </c>
      <c r="H48" s="99"/>
    </row>
    <row r="49" spans="1:8" ht="28.5" customHeight="1">
      <c r="A49" s="42" t="s">
        <v>187</v>
      </c>
      <c r="B49" s="43" t="s">
        <v>188</v>
      </c>
      <c r="C49" s="81">
        <v>70</v>
      </c>
      <c r="D49" s="85">
        <f>C49</f>
        <v>70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4383</v>
      </c>
      <c r="D50" s="85">
        <f>D51+D52+D53+D54</f>
        <v>4449</v>
      </c>
      <c r="E50" s="101">
        <f t="shared" si="0"/>
        <v>66</v>
      </c>
      <c r="F50" s="102">
        <f t="shared" si="1"/>
        <v>1.0151</v>
      </c>
      <c r="H50" s="99"/>
    </row>
    <row r="51" spans="1:8" ht="28.5" customHeight="1">
      <c r="A51" s="42" t="s">
        <v>51</v>
      </c>
      <c r="B51" s="43" t="s">
        <v>47</v>
      </c>
      <c r="C51" s="85">
        <v>3296</v>
      </c>
      <c r="D51" s="85">
        <f>C51+58</f>
        <v>3354</v>
      </c>
      <c r="E51" s="101">
        <f t="shared" si="0"/>
        <v>58</v>
      </c>
      <c r="F51" s="102">
        <f t="shared" si="1"/>
        <v>1.0176</v>
      </c>
      <c r="H51" s="99"/>
    </row>
    <row r="52" spans="1:8" ht="28.5" customHeight="1">
      <c r="A52" s="42" t="s">
        <v>52</v>
      </c>
      <c r="B52" s="43" t="s">
        <v>48</v>
      </c>
      <c r="C52" s="85">
        <v>484</v>
      </c>
      <c r="D52" s="85">
        <f>C52+8</f>
        <v>492</v>
      </c>
      <c r="E52" s="101">
        <f t="shared" si="0"/>
        <v>8</v>
      </c>
      <c r="F52" s="102">
        <f t="shared" si="1"/>
        <v>1.0165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603</v>
      </c>
      <c r="D54" s="85">
        <f t="shared" si="3"/>
        <v>603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4431</v>
      </c>
      <c r="D56" s="85">
        <f>C56</f>
        <v>4431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320</v>
      </c>
      <c r="D57" s="85">
        <f>C57</f>
        <v>320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14231</v>
      </c>
      <c r="D58" s="27">
        <f>D59+D60+D61+D62</f>
        <v>14231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20</v>
      </c>
      <c r="D59" s="85">
        <f t="shared" si="3"/>
        <v>20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13711</v>
      </c>
      <c r="D60" s="85">
        <f t="shared" si="3"/>
        <v>13711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500</v>
      </c>
      <c r="D62" s="85">
        <f>C62</f>
        <v>500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1981</v>
      </c>
      <c r="D63" s="27">
        <f>C63</f>
        <v>1981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64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3414407</v>
      </c>
      <c r="D7" s="16">
        <f>D8+D9+D10+D15+D16+D17+D18+D19+D20+D21+D22+D23+D24+D25+D29+D30+D32+D33</f>
        <v>3414407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420158</v>
      </c>
      <c r="D8" s="25">
        <f>C8</f>
        <v>420158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265168</v>
      </c>
      <c r="D9" s="25">
        <f aca="true" t="shared" si="2" ref="D9:D33">C9</f>
        <v>265168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1673254</v>
      </c>
      <c r="D10" s="25">
        <f t="shared" si="2"/>
        <v>1673254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121031</v>
      </c>
      <c r="D11" s="25">
        <f t="shared" si="2"/>
        <v>121031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106241</v>
      </c>
      <c r="D12" s="25">
        <f t="shared" si="2"/>
        <v>106241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81473</v>
      </c>
      <c r="D13" s="25">
        <f t="shared" si="2"/>
        <v>81473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43929</v>
      </c>
      <c r="D14" s="25">
        <f t="shared" si="2"/>
        <v>43929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115080</v>
      </c>
      <c r="D15" s="25">
        <f t="shared" si="2"/>
        <v>115080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85672</v>
      </c>
      <c r="D16" s="25">
        <f t="shared" si="2"/>
        <v>85672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46489</v>
      </c>
      <c r="D17" s="25">
        <f t="shared" si="2"/>
        <v>46489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26579</v>
      </c>
      <c r="D18" s="25">
        <f t="shared" si="2"/>
        <v>26579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95812</v>
      </c>
      <c r="D19" s="25">
        <f t="shared" si="2"/>
        <v>95812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32133</v>
      </c>
      <c r="D20" s="25">
        <f t="shared" si="2"/>
        <v>32133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2443</v>
      </c>
      <c r="D21" s="25">
        <f t="shared" si="2"/>
        <v>2443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11767</v>
      </c>
      <c r="D22" s="25">
        <f t="shared" si="2"/>
        <v>11767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108414</v>
      </c>
      <c r="D23" s="25">
        <f t="shared" si="2"/>
        <v>108414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47000</v>
      </c>
      <c r="D24" s="25">
        <f t="shared" si="2"/>
        <v>47000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475441</v>
      </c>
      <c r="D25" s="81">
        <f>SUM(D26:D28)</f>
        <v>475441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474937</v>
      </c>
      <c r="D26" s="25">
        <f t="shared" si="2"/>
        <v>474937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241</v>
      </c>
      <c r="D27" s="25">
        <f t="shared" si="2"/>
        <v>241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263</v>
      </c>
      <c r="D28" s="25">
        <f t="shared" si="2"/>
        <v>263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8997</v>
      </c>
      <c r="D33" s="25">
        <f t="shared" si="2"/>
        <v>8997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109600</v>
      </c>
      <c r="D35" s="96">
        <f>C35</f>
        <v>109600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625611</v>
      </c>
      <c r="D36" s="84">
        <f>D12+D14+D25+D31</f>
        <v>625611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23780</v>
      </c>
      <c r="D37" s="24">
        <f>D38+D39+D40+D48+D50+D56+D57+D55</f>
        <v>24067</v>
      </c>
      <c r="E37" s="13">
        <f t="shared" si="0"/>
        <v>287</v>
      </c>
      <c r="F37" s="104">
        <f t="shared" si="1"/>
        <v>1.0121</v>
      </c>
      <c r="H37" s="99"/>
    </row>
    <row r="38" spans="1:8" ht="28.5" customHeight="1">
      <c r="A38" s="31" t="s">
        <v>17</v>
      </c>
      <c r="B38" s="40" t="s">
        <v>18</v>
      </c>
      <c r="C38" s="81">
        <v>1180</v>
      </c>
      <c r="D38" s="85">
        <f>C38</f>
        <v>1180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3231</v>
      </c>
      <c r="D39" s="85">
        <f>C39</f>
        <v>3231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145</v>
      </c>
      <c r="D40" s="85">
        <f>D41+D43+D44+D45+D46+D47</f>
        <v>145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35</v>
      </c>
      <c r="D41" s="85">
        <f aca="true" t="shared" si="3" ref="D41:D49">C41</f>
        <v>35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35</v>
      </c>
      <c r="D42" s="85">
        <f t="shared" si="3"/>
        <v>35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5</v>
      </c>
      <c r="D43" s="85">
        <f t="shared" si="3"/>
        <v>5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100</v>
      </c>
      <c r="D46" s="85">
        <f t="shared" si="3"/>
        <v>100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5</v>
      </c>
      <c r="D47" s="85">
        <f t="shared" si="3"/>
        <v>5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13960</v>
      </c>
      <c r="D48" s="85">
        <f>C48+240</f>
        <v>14200</v>
      </c>
      <c r="E48" s="101">
        <f t="shared" si="0"/>
        <v>240</v>
      </c>
      <c r="F48" s="102">
        <f t="shared" si="1"/>
        <v>1.0172</v>
      </c>
      <c r="H48" s="99"/>
    </row>
    <row r="49" spans="1:8" ht="28.5" customHeight="1">
      <c r="A49" s="42" t="s">
        <v>187</v>
      </c>
      <c r="B49" s="43" t="s">
        <v>188</v>
      </c>
      <c r="C49" s="81">
        <v>20</v>
      </c>
      <c r="D49" s="85">
        <f t="shared" si="3"/>
        <v>20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3097</v>
      </c>
      <c r="D50" s="85">
        <f>D51+D52+D53+D54</f>
        <v>3144</v>
      </c>
      <c r="E50" s="101">
        <f t="shared" si="0"/>
        <v>47</v>
      </c>
      <c r="F50" s="102">
        <f t="shared" si="1"/>
        <v>1.0152</v>
      </c>
      <c r="H50" s="99"/>
    </row>
    <row r="51" spans="1:8" ht="28.5" customHeight="1">
      <c r="A51" s="42" t="s">
        <v>51</v>
      </c>
      <c r="B51" s="43" t="s">
        <v>47</v>
      </c>
      <c r="C51" s="85">
        <v>2353</v>
      </c>
      <c r="D51" s="85">
        <f>C51+41</f>
        <v>2394</v>
      </c>
      <c r="E51" s="101">
        <f t="shared" si="0"/>
        <v>41</v>
      </c>
      <c r="F51" s="102">
        <f t="shared" si="1"/>
        <v>1.0174</v>
      </c>
      <c r="H51" s="99"/>
    </row>
    <row r="52" spans="1:8" ht="28.5" customHeight="1">
      <c r="A52" s="42" t="s">
        <v>52</v>
      </c>
      <c r="B52" s="43" t="s">
        <v>48</v>
      </c>
      <c r="C52" s="85">
        <v>342</v>
      </c>
      <c r="D52" s="85">
        <f>C52+6</f>
        <v>348</v>
      </c>
      <c r="E52" s="101">
        <f t="shared" si="0"/>
        <v>6</v>
      </c>
      <c r="F52" s="102">
        <f t="shared" si="1"/>
        <v>1.0175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>C53</f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402</v>
      </c>
      <c r="D54" s="85">
        <f>C54</f>
        <v>402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1600</v>
      </c>
      <c r="D56" s="85">
        <f>C56</f>
        <v>1600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567</v>
      </c>
      <c r="D57" s="85">
        <f>C57</f>
        <v>567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50674</v>
      </c>
      <c r="D58" s="27">
        <f>D59+D60+D61+D62</f>
        <v>50674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15</v>
      </c>
      <c r="D59" s="85">
        <f>C59</f>
        <v>15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49717</v>
      </c>
      <c r="D60" s="85">
        <f>C60</f>
        <v>49717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>C61</f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942</v>
      </c>
      <c r="D62" s="85">
        <f>C62</f>
        <v>942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31682</v>
      </c>
      <c r="D63" s="27">
        <f>C63</f>
        <v>31682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65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3547815</v>
      </c>
      <c r="D7" s="16">
        <f>D8+D9+D10+D15+D16+D17+D18+D19+D20+D21+D22+D23+D24+D25+D29+D30+D32+D33</f>
        <v>3547815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447000</v>
      </c>
      <c r="D8" s="25">
        <f>C8</f>
        <v>447000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273015</v>
      </c>
      <c r="D9" s="25">
        <f aca="true" t="shared" si="2" ref="D9:D33">C9</f>
        <v>273015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1716138</v>
      </c>
      <c r="D10" s="25">
        <f t="shared" si="2"/>
        <v>1716138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113483</v>
      </c>
      <c r="D11" s="25">
        <f t="shared" si="2"/>
        <v>113483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100374</v>
      </c>
      <c r="D12" s="25">
        <f t="shared" si="2"/>
        <v>100374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74463</v>
      </c>
      <c r="D13" s="25">
        <f t="shared" si="2"/>
        <v>74463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35308</v>
      </c>
      <c r="D14" s="25">
        <f t="shared" si="2"/>
        <v>35308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126672</v>
      </c>
      <c r="D15" s="25">
        <f t="shared" si="2"/>
        <v>126672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108531</v>
      </c>
      <c r="D16" s="25">
        <f t="shared" si="2"/>
        <v>108531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52696</v>
      </c>
      <c r="D17" s="25">
        <f t="shared" si="2"/>
        <v>52696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15087</v>
      </c>
      <c r="D18" s="25">
        <f t="shared" si="2"/>
        <v>15087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125572</v>
      </c>
      <c r="D19" s="25">
        <f t="shared" si="2"/>
        <v>125572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39954</v>
      </c>
      <c r="D20" s="25">
        <f t="shared" si="2"/>
        <v>39954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3200</v>
      </c>
      <c r="D21" s="25">
        <f t="shared" si="2"/>
        <v>3200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9067</v>
      </c>
      <c r="D22" s="25">
        <f t="shared" si="2"/>
        <v>9067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86871</v>
      </c>
      <c r="D23" s="25">
        <f t="shared" si="2"/>
        <v>86871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43000</v>
      </c>
      <c r="D24" s="25">
        <f t="shared" si="2"/>
        <v>43000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464264</v>
      </c>
      <c r="D25" s="81">
        <f>SUM(D26:D28)</f>
        <v>464264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462264</v>
      </c>
      <c r="D26" s="25">
        <f t="shared" si="2"/>
        <v>462264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2000</v>
      </c>
      <c r="D27" s="25">
        <f t="shared" si="2"/>
        <v>2000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0</v>
      </c>
      <c r="D28" s="25">
        <f t="shared" si="2"/>
        <v>0</v>
      </c>
      <c r="E28" s="101" t="str">
        <f t="shared" si="0"/>
        <v>-</v>
      </c>
      <c r="F28" s="102" t="str">
        <f t="shared" si="1"/>
        <v>-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36748</v>
      </c>
      <c r="D33" s="25">
        <f t="shared" si="2"/>
        <v>36748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112943</v>
      </c>
      <c r="D35" s="96">
        <f>C35</f>
        <v>112943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599946</v>
      </c>
      <c r="D36" s="84">
        <f>D12+D14+D25+D31</f>
        <v>599946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24703</v>
      </c>
      <c r="D37" s="24">
        <f>D38+D39+D40+D48+D50+D56+D57+D55</f>
        <v>24980</v>
      </c>
      <c r="E37" s="13">
        <f t="shared" si="0"/>
        <v>277</v>
      </c>
      <c r="F37" s="104">
        <f t="shared" si="1"/>
        <v>1.0112</v>
      </c>
      <c r="H37" s="99"/>
    </row>
    <row r="38" spans="1:8" ht="28.5" customHeight="1">
      <c r="A38" s="31" t="s">
        <v>17</v>
      </c>
      <c r="B38" s="40" t="s">
        <v>18</v>
      </c>
      <c r="C38" s="81">
        <v>883</v>
      </c>
      <c r="D38" s="85">
        <f>C38</f>
        <v>883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2917</v>
      </c>
      <c r="D39" s="85">
        <f>C39</f>
        <v>2917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232</v>
      </c>
      <c r="D40" s="85">
        <f>D41+D43+D44+D45+D46+D47</f>
        <v>232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28</v>
      </c>
      <c r="D41" s="85">
        <f>C41</f>
        <v>28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28</v>
      </c>
      <c r="D42" s="85">
        <f aca="true" t="shared" si="3" ref="D42:D61">C42</f>
        <v>28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3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196</v>
      </c>
      <c r="D46" s="85">
        <f t="shared" si="3"/>
        <v>196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8</v>
      </c>
      <c r="D47" s="85">
        <f>C47</f>
        <v>8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14598</v>
      </c>
      <c r="D48" s="85">
        <f>C48+231</f>
        <v>14829</v>
      </c>
      <c r="E48" s="101">
        <f t="shared" si="0"/>
        <v>231</v>
      </c>
      <c r="F48" s="102">
        <f t="shared" si="1"/>
        <v>1.0158</v>
      </c>
      <c r="H48" s="99"/>
    </row>
    <row r="49" spans="1:8" ht="28.5" customHeight="1">
      <c r="A49" s="42" t="s">
        <v>187</v>
      </c>
      <c r="B49" s="43" t="s">
        <v>188</v>
      </c>
      <c r="C49" s="81">
        <v>144</v>
      </c>
      <c r="D49" s="85">
        <f>C49</f>
        <v>144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3236</v>
      </c>
      <c r="D50" s="85">
        <f>D51+D52+D53+D54</f>
        <v>3282</v>
      </c>
      <c r="E50" s="101">
        <f t="shared" si="0"/>
        <v>46</v>
      </c>
      <c r="F50" s="102">
        <f t="shared" si="1"/>
        <v>1.0142</v>
      </c>
      <c r="H50" s="99"/>
    </row>
    <row r="51" spans="1:8" ht="28.5" customHeight="1">
      <c r="A51" s="42" t="s">
        <v>51</v>
      </c>
      <c r="B51" s="43" t="s">
        <v>47</v>
      </c>
      <c r="C51" s="85">
        <v>2509</v>
      </c>
      <c r="D51" s="85">
        <f>C51+40</f>
        <v>2549</v>
      </c>
      <c r="E51" s="101">
        <f t="shared" si="0"/>
        <v>40</v>
      </c>
      <c r="F51" s="102">
        <f t="shared" si="1"/>
        <v>1.0159</v>
      </c>
      <c r="H51" s="99"/>
    </row>
    <row r="52" spans="1:8" ht="28.5" customHeight="1">
      <c r="A52" s="42" t="s">
        <v>52</v>
      </c>
      <c r="B52" s="43" t="s">
        <v>48</v>
      </c>
      <c r="C52" s="85">
        <v>358</v>
      </c>
      <c r="D52" s="85">
        <f>C52+6</f>
        <v>364</v>
      </c>
      <c r="E52" s="101">
        <f t="shared" si="0"/>
        <v>6</v>
      </c>
      <c r="F52" s="102">
        <f t="shared" si="1"/>
        <v>1.0168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369</v>
      </c>
      <c r="D54" s="85">
        <f t="shared" si="3"/>
        <v>369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2500</v>
      </c>
      <c r="D56" s="85">
        <f>C56</f>
        <v>2500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337</v>
      </c>
      <c r="D57" s="85">
        <f>C57</f>
        <v>337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23453</v>
      </c>
      <c r="D58" s="27">
        <f>D59+D60+D61+D62</f>
        <v>23453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10</v>
      </c>
      <c r="D59" s="85">
        <f t="shared" si="3"/>
        <v>10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21443</v>
      </c>
      <c r="D60" s="85">
        <f t="shared" si="3"/>
        <v>21443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2000</v>
      </c>
      <c r="D62" s="85">
        <f>C62</f>
        <v>2000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6094</v>
      </c>
      <c r="D63" s="27">
        <f>C63</f>
        <v>6094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8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66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1660371</v>
      </c>
      <c r="D7" s="16">
        <f>D8+D9+D10+D15+D16+D17+D18+D19+D20+D21+D22+D23+D24+D25+D29+D30+D32+D33</f>
        <v>1660371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205950</v>
      </c>
      <c r="D8" s="25">
        <f>C8</f>
        <v>205950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147486</v>
      </c>
      <c r="D9" s="25">
        <f>C9</f>
        <v>147486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799809</v>
      </c>
      <c r="D10" s="25">
        <f>C10</f>
        <v>799809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58530</v>
      </c>
      <c r="D11" s="25">
        <f aca="true" t="shared" si="2" ref="D11:D23">C11</f>
        <v>58530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54214</v>
      </c>
      <c r="D12" s="25">
        <f t="shared" si="2"/>
        <v>54214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39935</v>
      </c>
      <c r="D13" s="25">
        <f t="shared" si="2"/>
        <v>39935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15140</v>
      </c>
      <c r="D14" s="25">
        <f t="shared" si="2"/>
        <v>15140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84804</v>
      </c>
      <c r="D15" s="25">
        <f t="shared" si="2"/>
        <v>84804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49394</v>
      </c>
      <c r="D16" s="25">
        <f t="shared" si="2"/>
        <v>49394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22099</v>
      </c>
      <c r="D17" s="25">
        <f t="shared" si="2"/>
        <v>22099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9506</v>
      </c>
      <c r="D18" s="25">
        <f t="shared" si="2"/>
        <v>9506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45248</v>
      </c>
      <c r="D19" s="25">
        <f t="shared" si="2"/>
        <v>45248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13200</v>
      </c>
      <c r="D20" s="25">
        <f t="shared" si="2"/>
        <v>13200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2520</v>
      </c>
      <c r="D21" s="25">
        <f t="shared" si="2"/>
        <v>2520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5287</v>
      </c>
      <c r="D22" s="25">
        <f t="shared" si="2"/>
        <v>5287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43256</v>
      </c>
      <c r="D23" s="25">
        <f t="shared" si="2"/>
        <v>43256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26000</v>
      </c>
      <c r="D24" s="25">
        <f aca="true" t="shared" si="3" ref="D24:D31">C24</f>
        <v>26000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185110</v>
      </c>
      <c r="D25" s="81">
        <f>SUM(D26:D28)</f>
        <v>185110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184974</v>
      </c>
      <c r="D26" s="25">
        <f t="shared" si="3"/>
        <v>184974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111</v>
      </c>
      <c r="D27" s="25">
        <f t="shared" si="3"/>
        <v>111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25</v>
      </c>
      <c r="D28" s="25">
        <f t="shared" si="3"/>
        <v>25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3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3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3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>C32</f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20702</v>
      </c>
      <c r="D33" s="25">
        <f>C33</f>
        <v>20702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65388</v>
      </c>
      <c r="D35" s="96">
        <f>C35</f>
        <v>65388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254464</v>
      </c>
      <c r="D36" s="84">
        <f>D12+D14+D25+D31</f>
        <v>254464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16413</v>
      </c>
      <c r="D37" s="24">
        <f>D38+D39+D40+D48+D50+D56+D57+D55</f>
        <v>16559</v>
      </c>
      <c r="E37" s="13">
        <f t="shared" si="0"/>
        <v>146</v>
      </c>
      <c r="F37" s="104">
        <f t="shared" si="1"/>
        <v>1.0089</v>
      </c>
      <c r="H37" s="99"/>
    </row>
    <row r="38" spans="1:8" ht="28.5" customHeight="1">
      <c r="A38" s="31" t="s">
        <v>17</v>
      </c>
      <c r="B38" s="40" t="s">
        <v>18</v>
      </c>
      <c r="C38" s="81">
        <v>681</v>
      </c>
      <c r="D38" s="85">
        <f>C38</f>
        <v>681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2603</v>
      </c>
      <c r="D39" s="85">
        <f>C39</f>
        <v>2603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147</v>
      </c>
      <c r="D40" s="85">
        <f>D41+D43+D44+D45+D46+D47</f>
        <v>147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29</v>
      </c>
      <c r="D41" s="85">
        <f>C41</f>
        <v>29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29</v>
      </c>
      <c r="D42" s="85">
        <f aca="true" t="shared" si="4" ref="D42:D61">C42</f>
        <v>29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4"/>
        <v>0</v>
      </c>
      <c r="E43" s="101" t="str">
        <f t="shared" si="0"/>
        <v>-</v>
      </c>
      <c r="F43" s="102" t="str">
        <f t="shared" si="1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4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4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110</v>
      </c>
      <c r="D46" s="85">
        <f t="shared" si="4"/>
        <v>110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8</v>
      </c>
      <c r="D47" s="85">
        <f>C47</f>
        <v>8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8126</v>
      </c>
      <c r="D48" s="85">
        <f>C48+123</f>
        <v>8249</v>
      </c>
      <c r="E48" s="101">
        <f t="shared" si="0"/>
        <v>123</v>
      </c>
      <c r="F48" s="102">
        <f t="shared" si="1"/>
        <v>1.0151</v>
      </c>
      <c r="H48" s="99"/>
    </row>
    <row r="49" spans="1:8" ht="28.5" customHeight="1">
      <c r="A49" s="42" t="s">
        <v>187</v>
      </c>
      <c r="B49" s="43" t="s">
        <v>188</v>
      </c>
      <c r="C49" s="81">
        <v>73</v>
      </c>
      <c r="D49" s="85">
        <f>C49</f>
        <v>73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1804</v>
      </c>
      <c r="D50" s="85">
        <f>D51+D52+D53+D54</f>
        <v>1827</v>
      </c>
      <c r="E50" s="101">
        <f t="shared" si="0"/>
        <v>23</v>
      </c>
      <c r="F50" s="102">
        <f t="shared" si="1"/>
        <v>1.0127</v>
      </c>
      <c r="H50" s="99"/>
    </row>
    <row r="51" spans="1:8" ht="28.5" customHeight="1">
      <c r="A51" s="42" t="s">
        <v>51</v>
      </c>
      <c r="B51" s="43" t="s">
        <v>47</v>
      </c>
      <c r="C51" s="85">
        <v>1397</v>
      </c>
      <c r="D51" s="85">
        <f>C51+20</f>
        <v>1417</v>
      </c>
      <c r="E51" s="101">
        <f t="shared" si="0"/>
        <v>20</v>
      </c>
      <c r="F51" s="102">
        <f t="shared" si="1"/>
        <v>1.0143</v>
      </c>
      <c r="H51" s="99"/>
    </row>
    <row r="52" spans="1:8" ht="28.5" customHeight="1">
      <c r="A52" s="42" t="s">
        <v>52</v>
      </c>
      <c r="B52" s="43" t="s">
        <v>48</v>
      </c>
      <c r="C52" s="85">
        <v>199</v>
      </c>
      <c r="D52" s="85">
        <f>C52+3</f>
        <v>202</v>
      </c>
      <c r="E52" s="101">
        <f t="shared" si="0"/>
        <v>3</v>
      </c>
      <c r="F52" s="102">
        <f t="shared" si="1"/>
        <v>1.0151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4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208</v>
      </c>
      <c r="D54" s="85">
        <f t="shared" si="4"/>
        <v>208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2776</v>
      </c>
      <c r="D56" s="85">
        <f>C56</f>
        <v>2776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276</v>
      </c>
      <c r="D57" s="85">
        <f>C57</f>
        <v>276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14192</v>
      </c>
      <c r="D58" s="27">
        <f>D59+D60+D61+D62</f>
        <v>14192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6</v>
      </c>
      <c r="D59" s="85">
        <f t="shared" si="4"/>
        <v>6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13636</v>
      </c>
      <c r="D60" s="85">
        <f t="shared" si="4"/>
        <v>13636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4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550</v>
      </c>
      <c r="D62" s="85">
        <f>C62</f>
        <v>550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2605</v>
      </c>
      <c r="D63" s="27">
        <f>C63</f>
        <v>2605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2" ySplit="7" topLeftCell="C35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67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4260059</v>
      </c>
      <c r="D7" s="16">
        <f>D8+D9+D10+D15+D16+D17+D18+D19+D20+D21+D22+D23+D24+D25+D29+D30+D32+D33</f>
        <v>4260059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515799</v>
      </c>
      <c r="D8" s="25">
        <f>C8</f>
        <v>515799</v>
      </c>
      <c r="E8" s="101" t="str">
        <f aca="true" t="shared" si="0" ref="E8:E63">IF(C8=D8,"-",D8-C8)</f>
        <v>-</v>
      </c>
      <c r="F8" s="102">
        <f aca="true" t="shared" si="1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318491</v>
      </c>
      <c r="D9" s="25">
        <f aca="true" t="shared" si="2" ref="D9:D33">C9</f>
        <v>318491</v>
      </c>
      <c r="E9" s="101" t="str">
        <f t="shared" si="0"/>
        <v>-</v>
      </c>
      <c r="F9" s="102">
        <f t="shared" si="1"/>
        <v>1</v>
      </c>
      <c r="H9" s="99"/>
    </row>
    <row r="10" spans="1:8" ht="33" customHeight="1">
      <c r="A10" s="29" t="s">
        <v>3</v>
      </c>
      <c r="B10" s="78" t="s">
        <v>136</v>
      </c>
      <c r="C10" s="81">
        <v>2062395</v>
      </c>
      <c r="D10" s="25">
        <f t="shared" si="2"/>
        <v>2062395</v>
      </c>
      <c r="E10" s="101" t="str">
        <f t="shared" si="0"/>
        <v>-</v>
      </c>
      <c r="F10" s="102">
        <f t="shared" si="1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145896</v>
      </c>
      <c r="D11" s="25">
        <f t="shared" si="2"/>
        <v>145896</v>
      </c>
      <c r="E11" s="101" t="str">
        <f t="shared" si="0"/>
        <v>-</v>
      </c>
      <c r="F11" s="102">
        <f t="shared" si="1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133944</v>
      </c>
      <c r="D12" s="25">
        <f t="shared" si="2"/>
        <v>133944</v>
      </c>
      <c r="E12" s="101" t="str">
        <f t="shared" si="0"/>
        <v>-</v>
      </c>
      <c r="F12" s="102">
        <f t="shared" si="1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81008</v>
      </c>
      <c r="D13" s="25">
        <f t="shared" si="2"/>
        <v>81008</v>
      </c>
      <c r="E13" s="101" t="str">
        <f t="shared" si="0"/>
        <v>-</v>
      </c>
      <c r="F13" s="102">
        <f t="shared" si="1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34260</v>
      </c>
      <c r="D14" s="25">
        <f t="shared" si="2"/>
        <v>34260</v>
      </c>
      <c r="E14" s="101" t="str">
        <f t="shared" si="0"/>
        <v>-</v>
      </c>
      <c r="F14" s="102">
        <f t="shared" si="1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153392</v>
      </c>
      <c r="D15" s="25">
        <f t="shared" si="2"/>
        <v>153392</v>
      </c>
      <c r="E15" s="101" t="str">
        <f t="shared" si="0"/>
        <v>-</v>
      </c>
      <c r="F15" s="102">
        <f t="shared" si="1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123944</v>
      </c>
      <c r="D16" s="25">
        <f t="shared" si="2"/>
        <v>123944</v>
      </c>
      <c r="E16" s="101" t="str">
        <f t="shared" si="0"/>
        <v>-</v>
      </c>
      <c r="F16" s="102">
        <f t="shared" si="1"/>
        <v>1</v>
      </c>
      <c r="H16" s="99"/>
    </row>
    <row r="17" spans="1:8" ht="33" customHeight="1">
      <c r="A17" s="29" t="s">
        <v>6</v>
      </c>
      <c r="B17" s="78" t="s">
        <v>146</v>
      </c>
      <c r="C17" s="81">
        <v>55455</v>
      </c>
      <c r="D17" s="25">
        <f t="shared" si="2"/>
        <v>55455</v>
      </c>
      <c r="E17" s="101" t="str">
        <f t="shared" si="0"/>
        <v>-</v>
      </c>
      <c r="F17" s="102">
        <f t="shared" si="1"/>
        <v>1</v>
      </c>
      <c r="H17" s="99"/>
    </row>
    <row r="18" spans="1:8" ht="33" customHeight="1">
      <c r="A18" s="29" t="s">
        <v>7</v>
      </c>
      <c r="B18" s="78" t="s">
        <v>145</v>
      </c>
      <c r="C18" s="81">
        <v>20599</v>
      </c>
      <c r="D18" s="25">
        <f t="shared" si="2"/>
        <v>20599</v>
      </c>
      <c r="E18" s="101" t="str">
        <f t="shared" si="0"/>
        <v>-</v>
      </c>
      <c r="F18" s="102">
        <f t="shared" si="1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119704</v>
      </c>
      <c r="D19" s="25">
        <f t="shared" si="2"/>
        <v>119704</v>
      </c>
      <c r="E19" s="101" t="str">
        <f t="shared" si="0"/>
        <v>-</v>
      </c>
      <c r="F19" s="102">
        <f t="shared" si="1"/>
        <v>1</v>
      </c>
      <c r="H19" s="99"/>
    </row>
    <row r="20" spans="1:8" ht="33" customHeight="1">
      <c r="A20" s="29" t="s">
        <v>9</v>
      </c>
      <c r="B20" s="78" t="s">
        <v>142</v>
      </c>
      <c r="C20" s="81">
        <v>45248</v>
      </c>
      <c r="D20" s="25">
        <f t="shared" si="2"/>
        <v>45248</v>
      </c>
      <c r="E20" s="101" t="str">
        <f t="shared" si="0"/>
        <v>-</v>
      </c>
      <c r="F20" s="102">
        <f t="shared" si="1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2550</v>
      </c>
      <c r="D21" s="25">
        <f t="shared" si="2"/>
        <v>2550</v>
      </c>
      <c r="E21" s="101" t="str">
        <f t="shared" si="0"/>
        <v>-</v>
      </c>
      <c r="F21" s="102">
        <f t="shared" si="1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11132</v>
      </c>
      <c r="D22" s="25">
        <f t="shared" si="2"/>
        <v>11132</v>
      </c>
      <c r="E22" s="101" t="str">
        <f t="shared" si="0"/>
        <v>-</v>
      </c>
      <c r="F22" s="102">
        <f t="shared" si="1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105699</v>
      </c>
      <c r="D23" s="25">
        <f t="shared" si="2"/>
        <v>105699</v>
      </c>
      <c r="E23" s="101" t="str">
        <f t="shared" si="0"/>
        <v>-</v>
      </c>
      <c r="F23" s="102">
        <f t="shared" si="1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56081</v>
      </c>
      <c r="D24" s="25">
        <f t="shared" si="2"/>
        <v>56081</v>
      </c>
      <c r="E24" s="101" t="str">
        <f t="shared" si="0"/>
        <v>-</v>
      </c>
      <c r="F24" s="102">
        <f t="shared" si="1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624782</v>
      </c>
      <c r="D25" s="81">
        <f>SUM(D26:D28)</f>
        <v>624782</v>
      </c>
      <c r="E25" s="101" t="str">
        <f t="shared" si="0"/>
        <v>-</v>
      </c>
      <c r="F25" s="102">
        <f t="shared" si="1"/>
        <v>1</v>
      </c>
      <c r="H25" s="99"/>
    </row>
    <row r="26" spans="1:8" ht="31.5">
      <c r="A26" s="28" t="s">
        <v>148</v>
      </c>
      <c r="B26" s="90" t="s">
        <v>178</v>
      </c>
      <c r="C26" s="81">
        <v>623342</v>
      </c>
      <c r="D26" s="25">
        <f t="shared" si="2"/>
        <v>623342</v>
      </c>
      <c r="E26" s="101" t="str">
        <f t="shared" si="0"/>
        <v>-</v>
      </c>
      <c r="F26" s="102">
        <f t="shared" si="1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960</v>
      </c>
      <c r="D27" s="25">
        <f t="shared" si="2"/>
        <v>960</v>
      </c>
      <c r="E27" s="101" t="str">
        <f t="shared" si="0"/>
        <v>-</v>
      </c>
      <c r="F27" s="102">
        <f t="shared" si="1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480</v>
      </c>
      <c r="D28" s="25">
        <f t="shared" si="2"/>
        <v>480</v>
      </c>
      <c r="E28" s="101" t="str">
        <f t="shared" si="0"/>
        <v>-</v>
      </c>
      <c r="F28" s="102">
        <f t="shared" si="1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2"/>
        <v>0</v>
      </c>
      <c r="E29" s="101" t="str">
        <f t="shared" si="0"/>
        <v>-</v>
      </c>
      <c r="F29" s="102" t="str">
        <f t="shared" si="1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2"/>
        <v>0</v>
      </c>
      <c r="E30" s="101" t="str">
        <f t="shared" si="0"/>
        <v>-</v>
      </c>
      <c r="F30" s="102" t="str">
        <f t="shared" si="1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2"/>
        <v>0</v>
      </c>
      <c r="E31" s="101" t="str">
        <f t="shared" si="0"/>
        <v>-</v>
      </c>
      <c r="F31" s="102" t="str">
        <f t="shared" si="1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 t="shared" si="2"/>
        <v>0</v>
      </c>
      <c r="E32" s="101" t="str">
        <f t="shared" si="0"/>
        <v>-</v>
      </c>
      <c r="F32" s="102" t="str">
        <f t="shared" si="1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44788</v>
      </c>
      <c r="D33" s="25">
        <f t="shared" si="2"/>
        <v>44788</v>
      </c>
      <c r="E33" s="101" t="str">
        <f t="shared" si="0"/>
        <v>-</v>
      </c>
      <c r="F33" s="102">
        <f t="shared" si="1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0"/>
        <v>-</v>
      </c>
      <c r="F34" s="103" t="str">
        <f t="shared" si="1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121206</v>
      </c>
      <c r="D35" s="96">
        <f>C35</f>
        <v>121206</v>
      </c>
      <c r="E35" s="15" t="str">
        <f t="shared" si="0"/>
        <v>-</v>
      </c>
      <c r="F35" s="103">
        <f t="shared" si="1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792986</v>
      </c>
      <c r="D36" s="84">
        <f>D12+D14+D25+D31</f>
        <v>792986</v>
      </c>
      <c r="E36" s="15" t="str">
        <f t="shared" si="0"/>
        <v>-</v>
      </c>
      <c r="F36" s="103">
        <f t="shared" si="1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29138</v>
      </c>
      <c r="D37" s="24">
        <f>D38+D39+D40+D48+D50+D56+D57+D55</f>
        <v>29466</v>
      </c>
      <c r="E37" s="13">
        <f t="shared" si="0"/>
        <v>328</v>
      </c>
      <c r="F37" s="104">
        <f t="shared" si="1"/>
        <v>1.0113</v>
      </c>
      <c r="H37" s="99"/>
    </row>
    <row r="38" spans="1:8" ht="28.5" customHeight="1">
      <c r="A38" s="31" t="s">
        <v>17</v>
      </c>
      <c r="B38" s="40" t="s">
        <v>18</v>
      </c>
      <c r="C38" s="81">
        <v>1009</v>
      </c>
      <c r="D38" s="85">
        <f>C38</f>
        <v>1009</v>
      </c>
      <c r="E38" s="101" t="str">
        <f t="shared" si="0"/>
        <v>-</v>
      </c>
      <c r="F38" s="102">
        <f t="shared" si="1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4286</v>
      </c>
      <c r="D39" s="85">
        <f>C39</f>
        <v>4286</v>
      </c>
      <c r="E39" s="101" t="str">
        <f t="shared" si="0"/>
        <v>-</v>
      </c>
      <c r="F39" s="102">
        <f t="shared" si="1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299</v>
      </c>
      <c r="D40" s="85">
        <f>D41+D43+D44+D45+D46+D47</f>
        <v>299</v>
      </c>
      <c r="E40" s="101" t="str">
        <f t="shared" si="0"/>
        <v>-</v>
      </c>
      <c r="F40" s="102">
        <f t="shared" si="1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12</v>
      </c>
      <c r="D41" s="85">
        <f>C41</f>
        <v>12</v>
      </c>
      <c r="E41" s="101" t="str">
        <f t="shared" si="0"/>
        <v>-</v>
      </c>
      <c r="F41" s="102">
        <f t="shared" si="1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12</v>
      </c>
      <c r="D42" s="85">
        <f aca="true" t="shared" si="3" ref="D42:D61">C42</f>
        <v>12</v>
      </c>
      <c r="E42" s="101" t="str">
        <f t="shared" si="0"/>
        <v>-</v>
      </c>
      <c r="F42" s="102">
        <f t="shared" si="1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9</v>
      </c>
      <c r="D43" s="85">
        <f t="shared" si="3"/>
        <v>9</v>
      </c>
      <c r="E43" s="101" t="str">
        <f t="shared" si="0"/>
        <v>-</v>
      </c>
      <c r="F43" s="102">
        <f t="shared" si="1"/>
        <v>1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3"/>
        <v>0</v>
      </c>
      <c r="E44" s="101" t="str">
        <f t="shared" si="0"/>
        <v>-</v>
      </c>
      <c r="F44" s="102" t="str">
        <f t="shared" si="1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3"/>
        <v>0</v>
      </c>
      <c r="E45" s="101" t="str">
        <f t="shared" si="0"/>
        <v>-</v>
      </c>
      <c r="F45" s="102" t="str">
        <f t="shared" si="1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275</v>
      </c>
      <c r="D46" s="85">
        <f t="shared" si="3"/>
        <v>275</v>
      </c>
      <c r="E46" s="101" t="str">
        <f t="shared" si="0"/>
        <v>-</v>
      </c>
      <c r="F46" s="102">
        <f t="shared" si="1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3</v>
      </c>
      <c r="D47" s="85">
        <f>C47</f>
        <v>3</v>
      </c>
      <c r="E47" s="101" t="str">
        <f t="shared" si="0"/>
        <v>-</v>
      </c>
      <c r="F47" s="102">
        <f t="shared" si="1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16960</v>
      </c>
      <c r="D48" s="85">
        <f>C48+274</f>
        <v>17234</v>
      </c>
      <c r="E48" s="101">
        <f t="shared" si="0"/>
        <v>274</v>
      </c>
      <c r="F48" s="102">
        <f t="shared" si="1"/>
        <v>1.0162</v>
      </c>
      <c r="H48" s="99"/>
    </row>
    <row r="49" spans="1:8" ht="28.5" customHeight="1">
      <c r="A49" s="42" t="s">
        <v>187</v>
      </c>
      <c r="B49" s="43" t="s">
        <v>188</v>
      </c>
      <c r="C49" s="81">
        <v>90</v>
      </c>
      <c r="D49" s="85">
        <f>C49</f>
        <v>90</v>
      </c>
      <c r="E49" s="101" t="str">
        <f t="shared" si="0"/>
        <v>-</v>
      </c>
      <c r="F49" s="102">
        <f t="shared" si="1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3761</v>
      </c>
      <c r="D50" s="85">
        <f>D51+D52+D53+D54</f>
        <v>3815</v>
      </c>
      <c r="E50" s="101">
        <f t="shared" si="0"/>
        <v>54</v>
      </c>
      <c r="F50" s="102">
        <f t="shared" si="1"/>
        <v>1.0144</v>
      </c>
      <c r="H50" s="99"/>
    </row>
    <row r="51" spans="1:8" ht="28.5" customHeight="1">
      <c r="A51" s="42" t="s">
        <v>51</v>
      </c>
      <c r="B51" s="43" t="s">
        <v>47</v>
      </c>
      <c r="C51" s="85">
        <v>2915</v>
      </c>
      <c r="D51" s="85">
        <f>C51+47</f>
        <v>2962</v>
      </c>
      <c r="E51" s="101">
        <f t="shared" si="0"/>
        <v>47</v>
      </c>
      <c r="F51" s="102">
        <f t="shared" si="1"/>
        <v>1.0161</v>
      </c>
      <c r="H51" s="99"/>
    </row>
    <row r="52" spans="1:8" ht="28.5" customHeight="1">
      <c r="A52" s="42" t="s">
        <v>52</v>
      </c>
      <c r="B52" s="43" t="s">
        <v>48</v>
      </c>
      <c r="C52" s="85">
        <v>416</v>
      </c>
      <c r="D52" s="85">
        <f>C52+7</f>
        <v>423</v>
      </c>
      <c r="E52" s="101">
        <f t="shared" si="0"/>
        <v>7</v>
      </c>
      <c r="F52" s="102">
        <f t="shared" si="1"/>
        <v>1.0168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3"/>
        <v>0</v>
      </c>
      <c r="E53" s="101" t="str">
        <f t="shared" si="0"/>
        <v>-</v>
      </c>
      <c r="F53" s="102" t="str">
        <f t="shared" si="1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430</v>
      </c>
      <c r="D54" s="85">
        <f t="shared" si="3"/>
        <v>430</v>
      </c>
      <c r="E54" s="101" t="str">
        <f t="shared" si="0"/>
        <v>-</v>
      </c>
      <c r="F54" s="102">
        <f t="shared" si="1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0"/>
        <v>-</v>
      </c>
      <c r="F55" s="102" t="str">
        <f t="shared" si="1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2697</v>
      </c>
      <c r="D56" s="85">
        <f>C56</f>
        <v>2697</v>
      </c>
      <c r="E56" s="101" t="str">
        <f t="shared" si="0"/>
        <v>-</v>
      </c>
      <c r="F56" s="105">
        <f t="shared" si="1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126</v>
      </c>
      <c r="D57" s="85">
        <f>C57</f>
        <v>126</v>
      </c>
      <c r="E57" s="101" t="str">
        <f t="shared" si="0"/>
        <v>-</v>
      </c>
      <c r="F57" s="102">
        <f t="shared" si="1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31150</v>
      </c>
      <c r="D58" s="27">
        <f>D59+D60+D61+D62</f>
        <v>31150</v>
      </c>
      <c r="E58" s="13" t="str">
        <f t="shared" si="0"/>
        <v>-</v>
      </c>
      <c r="F58" s="106">
        <f t="shared" si="1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12</v>
      </c>
      <c r="D59" s="85">
        <f t="shared" si="3"/>
        <v>12</v>
      </c>
      <c r="E59" s="77" t="str">
        <f t="shared" si="0"/>
        <v>-</v>
      </c>
      <c r="F59" s="102">
        <f t="shared" si="1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30688</v>
      </c>
      <c r="D60" s="85">
        <f t="shared" si="3"/>
        <v>30688</v>
      </c>
      <c r="E60" s="77" t="str">
        <f t="shared" si="0"/>
        <v>-</v>
      </c>
      <c r="F60" s="102">
        <f t="shared" si="1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3"/>
        <v>0</v>
      </c>
      <c r="E61" s="77" t="str">
        <f t="shared" si="0"/>
        <v>-</v>
      </c>
      <c r="F61" s="102" t="str">
        <f t="shared" si="1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450</v>
      </c>
      <c r="D62" s="85">
        <f>C62</f>
        <v>450</v>
      </c>
      <c r="E62" s="77" t="str">
        <f t="shared" si="0"/>
        <v>-</v>
      </c>
      <c r="F62" s="102">
        <f t="shared" si="1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6591</v>
      </c>
      <c r="D63" s="27">
        <f>C63</f>
        <v>6591</v>
      </c>
      <c r="E63" s="13" t="str">
        <f t="shared" si="0"/>
        <v>-</v>
      </c>
      <c r="F63" s="106">
        <f t="shared" si="1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="55" zoomScaleNormal="70" zoomScaleSheetLayoutView="55" zoomScalePageLayoutView="0" workbookViewId="0" topLeftCell="A1">
      <pane xSplit="1" ySplit="7" topLeftCell="B32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G1" sqref="G1:H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6" width="20.75390625" style="2" customWidth="1"/>
    <col min="7" max="7" width="9.125" style="2" customWidth="1"/>
    <col min="8" max="8" width="9.375" style="2" bestFit="1" customWidth="1"/>
    <col min="9" max="16384" width="9.125" style="2" customWidth="1"/>
  </cols>
  <sheetData>
    <row r="1" spans="1:6" s="48" customFormat="1" ht="57" customHeight="1">
      <c r="A1" s="141" t="str">
        <f>NFZ!A1</f>
        <v>ZMIANA PLANU FINANSOWEGO NARODOWEGO FUNDUSZU ZDROWIA NA 2013 ROK Z DNIA 31 LIPCA 2013 R.</v>
      </c>
      <c r="B1" s="141"/>
      <c r="C1" s="141"/>
      <c r="D1" s="141"/>
      <c r="E1" s="141"/>
      <c r="F1" s="141"/>
    </row>
    <row r="2" spans="1:3" s="50" customFormat="1" ht="33" customHeight="1">
      <c r="A2" s="89" t="s">
        <v>68</v>
      </c>
      <c r="B2" s="89"/>
      <c r="C2" s="97"/>
    </row>
    <row r="3" spans="1:6" ht="33" customHeight="1">
      <c r="A3" s="8"/>
      <c r="B3" s="9"/>
      <c r="C3" s="88"/>
      <c r="D3" s="88"/>
      <c r="E3" s="88" t="s">
        <v>166</v>
      </c>
      <c r="F3" s="10"/>
    </row>
    <row r="4" spans="1:6" s="6" customFormat="1" ht="45" customHeight="1">
      <c r="A4" s="138" t="s">
        <v>137</v>
      </c>
      <c r="B4" s="138" t="s">
        <v>56</v>
      </c>
      <c r="C4" s="139" t="s">
        <v>206</v>
      </c>
      <c r="D4" s="139" t="s">
        <v>203</v>
      </c>
      <c r="E4" s="142" t="s">
        <v>204</v>
      </c>
      <c r="F4" s="142" t="s">
        <v>205</v>
      </c>
    </row>
    <row r="5" spans="1:6" s="6" customFormat="1" ht="45" customHeight="1">
      <c r="A5" s="138"/>
      <c r="B5" s="138"/>
      <c r="C5" s="140"/>
      <c r="D5" s="140"/>
      <c r="E5" s="142"/>
      <c r="F5" s="14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174</v>
      </c>
      <c r="C7" s="98">
        <f>C8+C9+C10+C15+C16+C17+C18+C19+C20+C21+C22+C23+C24+C25+C29+C30+C32+C33</f>
        <v>5301676</v>
      </c>
      <c r="D7" s="16">
        <f>D8+D9+D10+D15+D16+D17+D18+D19+D20+D21+D22+D23+D24+D25+D29+D30+D32+D33</f>
        <v>5301676</v>
      </c>
      <c r="E7" s="13" t="str">
        <f>IF(C7=D7,"-",D7-C7)</f>
        <v>-</v>
      </c>
      <c r="F7" s="100">
        <f>IF(C7=0,"-",D7/C7)</f>
        <v>1</v>
      </c>
      <c r="H7" s="99"/>
    </row>
    <row r="8" spans="1:8" ht="33" customHeight="1">
      <c r="A8" s="29" t="s">
        <v>1</v>
      </c>
      <c r="B8" s="78" t="s">
        <v>138</v>
      </c>
      <c r="C8" s="81">
        <v>648600</v>
      </c>
      <c r="D8" s="25">
        <f aca="true" t="shared" si="0" ref="D8:D23">C8</f>
        <v>648600</v>
      </c>
      <c r="E8" s="101" t="str">
        <f aca="true" t="shared" si="1" ref="E8:E63">IF(C8=D8,"-",D8-C8)</f>
        <v>-</v>
      </c>
      <c r="F8" s="102">
        <f aca="true" t="shared" si="2" ref="F8:F63">IF(C8=0,"-",D8/C8)</f>
        <v>1</v>
      </c>
      <c r="H8" s="99"/>
    </row>
    <row r="9" spans="1:8" ht="33" customHeight="1">
      <c r="A9" s="29" t="s">
        <v>2</v>
      </c>
      <c r="B9" s="78" t="s">
        <v>139</v>
      </c>
      <c r="C9" s="81">
        <v>450439</v>
      </c>
      <c r="D9" s="25">
        <f t="shared" si="0"/>
        <v>450439</v>
      </c>
      <c r="E9" s="101" t="str">
        <f t="shared" si="1"/>
        <v>-</v>
      </c>
      <c r="F9" s="102">
        <f t="shared" si="2"/>
        <v>1</v>
      </c>
      <c r="H9" s="99"/>
    </row>
    <row r="10" spans="1:8" ht="33" customHeight="1">
      <c r="A10" s="29" t="s">
        <v>3</v>
      </c>
      <c r="B10" s="78" t="s">
        <v>136</v>
      </c>
      <c r="C10" s="81">
        <v>2526858</v>
      </c>
      <c r="D10" s="25">
        <f t="shared" si="0"/>
        <v>2526858</v>
      </c>
      <c r="E10" s="101" t="str">
        <f t="shared" si="1"/>
        <v>-</v>
      </c>
      <c r="F10" s="102">
        <f t="shared" si="2"/>
        <v>1</v>
      </c>
      <c r="H10" s="99"/>
    </row>
    <row r="11" spans="1:8" ht="31.5" customHeight="1">
      <c r="A11" s="79" t="s">
        <v>58</v>
      </c>
      <c r="B11" s="90" t="s">
        <v>167</v>
      </c>
      <c r="C11" s="81">
        <v>215278</v>
      </c>
      <c r="D11" s="25">
        <f t="shared" si="0"/>
        <v>215278</v>
      </c>
      <c r="E11" s="101" t="str">
        <f t="shared" si="1"/>
        <v>-</v>
      </c>
      <c r="F11" s="102">
        <f t="shared" si="2"/>
        <v>1</v>
      </c>
      <c r="H11" s="99"/>
    </row>
    <row r="12" spans="1:8" ht="31.5" customHeight="1">
      <c r="A12" s="79" t="s">
        <v>168</v>
      </c>
      <c r="B12" s="90" t="s">
        <v>171</v>
      </c>
      <c r="C12" s="81">
        <v>194358</v>
      </c>
      <c r="D12" s="25">
        <f t="shared" si="0"/>
        <v>194358</v>
      </c>
      <c r="E12" s="101" t="str">
        <f t="shared" si="1"/>
        <v>-</v>
      </c>
      <c r="F12" s="102">
        <f t="shared" si="2"/>
        <v>1</v>
      </c>
      <c r="H12" s="99"/>
    </row>
    <row r="13" spans="1:8" ht="31.5" customHeight="1">
      <c r="A13" s="79" t="s">
        <v>169</v>
      </c>
      <c r="B13" s="90" t="s">
        <v>172</v>
      </c>
      <c r="C13" s="81">
        <v>103546</v>
      </c>
      <c r="D13" s="25">
        <f t="shared" si="0"/>
        <v>103546</v>
      </c>
      <c r="E13" s="101" t="str">
        <f t="shared" si="1"/>
        <v>-</v>
      </c>
      <c r="F13" s="102">
        <f t="shared" si="2"/>
        <v>1</v>
      </c>
      <c r="H13" s="99"/>
    </row>
    <row r="14" spans="1:8" ht="31.5" customHeight="1">
      <c r="A14" s="79" t="s">
        <v>170</v>
      </c>
      <c r="B14" s="90" t="s">
        <v>173</v>
      </c>
      <c r="C14" s="81">
        <v>52194</v>
      </c>
      <c r="D14" s="25">
        <f t="shared" si="0"/>
        <v>52194</v>
      </c>
      <c r="E14" s="101" t="str">
        <f t="shared" si="1"/>
        <v>-</v>
      </c>
      <c r="F14" s="102">
        <f t="shared" si="2"/>
        <v>1</v>
      </c>
      <c r="H14" s="99"/>
    </row>
    <row r="15" spans="1:8" ht="33" customHeight="1">
      <c r="A15" s="29" t="s">
        <v>4</v>
      </c>
      <c r="B15" s="78" t="s">
        <v>144</v>
      </c>
      <c r="C15" s="81">
        <v>167128</v>
      </c>
      <c r="D15" s="25">
        <f t="shared" si="0"/>
        <v>167128</v>
      </c>
      <c r="E15" s="101" t="str">
        <f t="shared" si="1"/>
        <v>-</v>
      </c>
      <c r="F15" s="102">
        <f t="shared" si="2"/>
        <v>1</v>
      </c>
      <c r="H15" s="99"/>
    </row>
    <row r="16" spans="1:8" ht="33" customHeight="1">
      <c r="A16" s="29" t="s">
        <v>5</v>
      </c>
      <c r="B16" s="78" t="s">
        <v>140</v>
      </c>
      <c r="C16" s="81">
        <v>179089</v>
      </c>
      <c r="D16" s="25">
        <f t="shared" si="0"/>
        <v>179089</v>
      </c>
      <c r="E16" s="101" t="str">
        <f t="shared" si="1"/>
        <v>-</v>
      </c>
      <c r="F16" s="102">
        <f t="shared" si="2"/>
        <v>1</v>
      </c>
      <c r="H16" s="99"/>
    </row>
    <row r="17" spans="1:8" ht="33" customHeight="1">
      <c r="A17" s="29" t="s">
        <v>6</v>
      </c>
      <c r="B17" s="78" t="s">
        <v>146</v>
      </c>
      <c r="C17" s="81">
        <v>113159</v>
      </c>
      <c r="D17" s="25">
        <f>C17</f>
        <v>113159</v>
      </c>
      <c r="E17" s="101" t="str">
        <f t="shared" si="1"/>
        <v>-</v>
      </c>
      <c r="F17" s="102">
        <f t="shared" si="2"/>
        <v>1</v>
      </c>
      <c r="H17" s="99"/>
    </row>
    <row r="18" spans="1:8" ht="33" customHeight="1">
      <c r="A18" s="29" t="s">
        <v>7</v>
      </c>
      <c r="B18" s="78" t="s">
        <v>145</v>
      </c>
      <c r="C18" s="81">
        <v>31111</v>
      </c>
      <c r="D18" s="25">
        <f t="shared" si="0"/>
        <v>31111</v>
      </c>
      <c r="E18" s="101" t="str">
        <f t="shared" si="1"/>
        <v>-</v>
      </c>
      <c r="F18" s="102">
        <f t="shared" si="2"/>
        <v>1</v>
      </c>
      <c r="H18" s="99"/>
    </row>
    <row r="19" spans="1:8" ht="33" customHeight="1">
      <c r="A19" s="29" t="s">
        <v>8</v>
      </c>
      <c r="B19" s="78" t="s">
        <v>141</v>
      </c>
      <c r="C19" s="81">
        <v>180560</v>
      </c>
      <c r="D19" s="25">
        <f>C19</f>
        <v>180560</v>
      </c>
      <c r="E19" s="101" t="str">
        <f t="shared" si="1"/>
        <v>-</v>
      </c>
      <c r="F19" s="102">
        <f t="shared" si="2"/>
        <v>1</v>
      </c>
      <c r="H19" s="99"/>
    </row>
    <row r="20" spans="1:8" ht="33" customHeight="1">
      <c r="A20" s="29" t="s">
        <v>9</v>
      </c>
      <c r="B20" s="78" t="s">
        <v>142</v>
      </c>
      <c r="C20" s="81">
        <v>49500</v>
      </c>
      <c r="D20" s="25">
        <f t="shared" si="0"/>
        <v>49500</v>
      </c>
      <c r="E20" s="101" t="str">
        <f t="shared" si="1"/>
        <v>-</v>
      </c>
      <c r="F20" s="102">
        <f t="shared" si="2"/>
        <v>1</v>
      </c>
      <c r="H20" s="99"/>
    </row>
    <row r="21" spans="1:8" ht="33" customHeight="1">
      <c r="A21" s="29" t="s">
        <v>10</v>
      </c>
      <c r="B21" s="78" t="s">
        <v>147</v>
      </c>
      <c r="C21" s="81">
        <v>1701</v>
      </c>
      <c r="D21" s="25">
        <f t="shared" si="0"/>
        <v>1701</v>
      </c>
      <c r="E21" s="101" t="str">
        <f t="shared" si="1"/>
        <v>-</v>
      </c>
      <c r="F21" s="102">
        <f t="shared" si="2"/>
        <v>1</v>
      </c>
      <c r="H21" s="99"/>
    </row>
    <row r="22" spans="1:8" ht="46.5" customHeight="1">
      <c r="A22" s="29" t="s">
        <v>11</v>
      </c>
      <c r="B22" s="78" t="s">
        <v>143</v>
      </c>
      <c r="C22" s="81">
        <v>11707</v>
      </c>
      <c r="D22" s="25">
        <f t="shared" si="0"/>
        <v>11707</v>
      </c>
      <c r="E22" s="101" t="str">
        <f t="shared" si="1"/>
        <v>-</v>
      </c>
      <c r="F22" s="102">
        <f t="shared" si="2"/>
        <v>1</v>
      </c>
      <c r="H22" s="99"/>
    </row>
    <row r="23" spans="1:8" ht="33" customHeight="1">
      <c r="A23" s="29" t="s">
        <v>12</v>
      </c>
      <c r="B23" s="78" t="s">
        <v>197</v>
      </c>
      <c r="C23" s="81">
        <v>144990</v>
      </c>
      <c r="D23" s="25">
        <f t="shared" si="0"/>
        <v>144990</v>
      </c>
      <c r="E23" s="101" t="str">
        <f t="shared" si="1"/>
        <v>-</v>
      </c>
      <c r="F23" s="102">
        <f t="shared" si="2"/>
        <v>1</v>
      </c>
      <c r="H23" s="99"/>
    </row>
    <row r="24" spans="1:8" ht="33" customHeight="1">
      <c r="A24" s="29" t="s">
        <v>13</v>
      </c>
      <c r="B24" s="78" t="s">
        <v>175</v>
      </c>
      <c r="C24" s="81">
        <v>66300</v>
      </c>
      <c r="D24" s="25">
        <f>C24</f>
        <v>66300</v>
      </c>
      <c r="E24" s="101" t="str">
        <f t="shared" si="1"/>
        <v>-</v>
      </c>
      <c r="F24" s="102">
        <f t="shared" si="2"/>
        <v>1</v>
      </c>
      <c r="H24" s="99"/>
    </row>
    <row r="25" spans="1:8" ht="33" customHeight="1">
      <c r="A25" s="30" t="s">
        <v>14</v>
      </c>
      <c r="B25" s="78" t="s">
        <v>176</v>
      </c>
      <c r="C25" s="81">
        <f>SUM(C26:C28)</f>
        <v>718006</v>
      </c>
      <c r="D25" s="81">
        <f>SUM(D26:D28)</f>
        <v>718006</v>
      </c>
      <c r="E25" s="101" t="str">
        <f t="shared" si="1"/>
        <v>-</v>
      </c>
      <c r="F25" s="102">
        <f t="shared" si="2"/>
        <v>1</v>
      </c>
      <c r="H25" s="99"/>
    </row>
    <row r="26" spans="1:8" ht="31.5">
      <c r="A26" s="28" t="s">
        <v>148</v>
      </c>
      <c r="B26" s="90" t="s">
        <v>178</v>
      </c>
      <c r="C26" s="81">
        <v>714006</v>
      </c>
      <c r="D26" s="25">
        <f aca="true" t="shared" si="3" ref="D26:D31">C26</f>
        <v>714006</v>
      </c>
      <c r="E26" s="101" t="str">
        <f t="shared" si="1"/>
        <v>-</v>
      </c>
      <c r="F26" s="102">
        <f t="shared" si="2"/>
        <v>1</v>
      </c>
      <c r="H26" s="99"/>
    </row>
    <row r="27" spans="1:8" ht="31.5" customHeight="1">
      <c r="A27" s="79" t="s">
        <v>177</v>
      </c>
      <c r="B27" s="90" t="s">
        <v>180</v>
      </c>
      <c r="C27" s="81">
        <v>3000</v>
      </c>
      <c r="D27" s="25">
        <f t="shared" si="3"/>
        <v>3000</v>
      </c>
      <c r="E27" s="101" t="str">
        <f t="shared" si="1"/>
        <v>-</v>
      </c>
      <c r="F27" s="102">
        <f t="shared" si="2"/>
        <v>1</v>
      </c>
      <c r="H27" s="99"/>
    </row>
    <row r="28" spans="1:8" ht="31.5" customHeight="1">
      <c r="A28" s="79" t="s">
        <v>181</v>
      </c>
      <c r="B28" s="90" t="s">
        <v>179</v>
      </c>
      <c r="C28" s="81">
        <v>1000</v>
      </c>
      <c r="D28" s="25">
        <f t="shared" si="3"/>
        <v>1000</v>
      </c>
      <c r="E28" s="101" t="str">
        <f t="shared" si="1"/>
        <v>-</v>
      </c>
      <c r="F28" s="102">
        <f t="shared" si="2"/>
        <v>1</v>
      </c>
      <c r="H28" s="99"/>
    </row>
    <row r="29" spans="1:8" ht="33" customHeight="1">
      <c r="A29" s="31" t="s">
        <v>15</v>
      </c>
      <c r="B29" s="36" t="s">
        <v>124</v>
      </c>
      <c r="C29" s="81">
        <v>0</v>
      </c>
      <c r="D29" s="25">
        <f t="shared" si="3"/>
        <v>0</v>
      </c>
      <c r="E29" s="101" t="str">
        <f t="shared" si="1"/>
        <v>-</v>
      </c>
      <c r="F29" s="102" t="str">
        <f t="shared" si="2"/>
        <v>-</v>
      </c>
      <c r="H29" s="99"/>
    </row>
    <row r="30" spans="1:8" ht="33" customHeight="1">
      <c r="A30" s="31" t="s">
        <v>121</v>
      </c>
      <c r="B30" s="40" t="s">
        <v>182</v>
      </c>
      <c r="C30" s="81">
        <v>0</v>
      </c>
      <c r="D30" s="25">
        <f t="shared" si="3"/>
        <v>0</v>
      </c>
      <c r="E30" s="101" t="str">
        <f t="shared" si="1"/>
        <v>-</v>
      </c>
      <c r="F30" s="102" t="str">
        <f t="shared" si="2"/>
        <v>-</v>
      </c>
      <c r="H30" s="99"/>
    </row>
    <row r="31" spans="1:8" ht="31.5" customHeight="1">
      <c r="A31" s="79" t="s">
        <v>183</v>
      </c>
      <c r="B31" s="90" t="s">
        <v>199</v>
      </c>
      <c r="C31" s="81">
        <v>0</v>
      </c>
      <c r="D31" s="25">
        <f t="shared" si="3"/>
        <v>0</v>
      </c>
      <c r="E31" s="101" t="str">
        <f t="shared" si="1"/>
        <v>-</v>
      </c>
      <c r="F31" s="102" t="str">
        <f t="shared" si="2"/>
        <v>-</v>
      </c>
      <c r="H31" s="99"/>
    </row>
    <row r="32" spans="1:8" ht="33" customHeight="1">
      <c r="A32" s="31" t="s">
        <v>122</v>
      </c>
      <c r="B32" s="37" t="s">
        <v>125</v>
      </c>
      <c r="C32" s="81">
        <v>0</v>
      </c>
      <c r="D32" s="25">
        <f>C32</f>
        <v>0</v>
      </c>
      <c r="E32" s="101" t="str">
        <f t="shared" si="1"/>
        <v>-</v>
      </c>
      <c r="F32" s="102" t="str">
        <f t="shared" si="2"/>
        <v>-</v>
      </c>
      <c r="H32" s="99"/>
    </row>
    <row r="33" spans="1:8" ht="33" customHeight="1">
      <c r="A33" s="31" t="s">
        <v>123</v>
      </c>
      <c r="B33" s="40" t="s">
        <v>198</v>
      </c>
      <c r="C33" s="81">
        <v>12528</v>
      </c>
      <c r="D33" s="25">
        <f>C33</f>
        <v>12528</v>
      </c>
      <c r="E33" s="101" t="str">
        <f t="shared" si="1"/>
        <v>-</v>
      </c>
      <c r="F33" s="102">
        <f t="shared" si="2"/>
        <v>1</v>
      </c>
      <c r="H33" s="99"/>
    </row>
    <row r="34" spans="1:8" s="5" customFormat="1" ht="31.5" customHeight="1">
      <c r="A34" s="32" t="s">
        <v>60</v>
      </c>
      <c r="B34" s="38" t="s">
        <v>61</v>
      </c>
      <c r="C34" s="84">
        <v>0</v>
      </c>
      <c r="D34" s="95">
        <f>C34</f>
        <v>0</v>
      </c>
      <c r="E34" s="15" t="str">
        <f t="shared" si="1"/>
        <v>-</v>
      </c>
      <c r="F34" s="103" t="str">
        <f t="shared" si="2"/>
        <v>-</v>
      </c>
      <c r="H34" s="99"/>
    </row>
    <row r="35" spans="1:8" s="5" customFormat="1" ht="31.5" customHeight="1">
      <c r="A35" s="32" t="s">
        <v>59</v>
      </c>
      <c r="B35" s="38" t="s">
        <v>62</v>
      </c>
      <c r="C35" s="84">
        <v>138400</v>
      </c>
      <c r="D35" s="96">
        <f>C35</f>
        <v>138400</v>
      </c>
      <c r="E35" s="15" t="str">
        <f t="shared" si="1"/>
        <v>-</v>
      </c>
      <c r="F35" s="103">
        <f t="shared" si="2"/>
        <v>1</v>
      </c>
      <c r="H35" s="99"/>
    </row>
    <row r="36" spans="1:8" s="5" customFormat="1" ht="42.75" customHeight="1">
      <c r="A36" s="32" t="s">
        <v>184</v>
      </c>
      <c r="B36" s="38" t="s">
        <v>185</v>
      </c>
      <c r="C36" s="84">
        <f>C12+C14+C25+C31</f>
        <v>964558</v>
      </c>
      <c r="D36" s="84">
        <f>D12+D14+D25+D31</f>
        <v>964558</v>
      </c>
      <c r="E36" s="15" t="str">
        <f t="shared" si="1"/>
        <v>-</v>
      </c>
      <c r="F36" s="103">
        <f t="shared" si="2"/>
        <v>1</v>
      </c>
      <c r="H36" s="99"/>
    </row>
    <row r="37" spans="1:8" s="3" customFormat="1" ht="30" customHeight="1">
      <c r="A37" s="26" t="s">
        <v>16</v>
      </c>
      <c r="B37" s="45" t="s">
        <v>195</v>
      </c>
      <c r="C37" s="24">
        <f>C38+C39+C40+C48+C50+C56+C57+C55</f>
        <v>39875</v>
      </c>
      <c r="D37" s="24">
        <f>D38+D39+D40+D48+D50+D56+D57+D55</f>
        <v>40214</v>
      </c>
      <c r="E37" s="13">
        <f t="shared" si="1"/>
        <v>339</v>
      </c>
      <c r="F37" s="104">
        <f t="shared" si="2"/>
        <v>1.0085</v>
      </c>
      <c r="H37" s="99"/>
    </row>
    <row r="38" spans="1:8" ht="28.5" customHeight="1">
      <c r="A38" s="31" t="s">
        <v>17</v>
      </c>
      <c r="B38" s="40" t="s">
        <v>18</v>
      </c>
      <c r="C38" s="81">
        <v>1546</v>
      </c>
      <c r="D38" s="85">
        <f>C38</f>
        <v>1546</v>
      </c>
      <c r="E38" s="101" t="str">
        <f t="shared" si="1"/>
        <v>-</v>
      </c>
      <c r="F38" s="102">
        <f t="shared" si="2"/>
        <v>1</v>
      </c>
      <c r="H38" s="99"/>
    </row>
    <row r="39" spans="1:8" ht="28.5" customHeight="1">
      <c r="A39" s="31" t="s">
        <v>19</v>
      </c>
      <c r="B39" s="40" t="s">
        <v>20</v>
      </c>
      <c r="C39" s="81">
        <v>4624</v>
      </c>
      <c r="D39" s="85">
        <f>C39</f>
        <v>4624</v>
      </c>
      <c r="E39" s="101" t="str">
        <f t="shared" si="1"/>
        <v>-</v>
      </c>
      <c r="F39" s="102">
        <f t="shared" si="2"/>
        <v>1</v>
      </c>
      <c r="H39" s="99"/>
    </row>
    <row r="40" spans="1:8" ht="28.5" customHeight="1">
      <c r="A40" s="31" t="s">
        <v>21</v>
      </c>
      <c r="B40" s="41" t="s">
        <v>32</v>
      </c>
      <c r="C40" s="85">
        <f>C41+C43+C44+C45+C46+C47</f>
        <v>245</v>
      </c>
      <c r="D40" s="85">
        <f>D41+D43+D44+D45+D46+D47</f>
        <v>245</v>
      </c>
      <c r="E40" s="101" t="str">
        <f t="shared" si="1"/>
        <v>-</v>
      </c>
      <c r="F40" s="102">
        <f t="shared" si="2"/>
        <v>1</v>
      </c>
      <c r="H40" s="99"/>
    </row>
    <row r="41" spans="1:8" ht="28.5" customHeight="1">
      <c r="A41" s="42" t="s">
        <v>40</v>
      </c>
      <c r="B41" s="43" t="s">
        <v>33</v>
      </c>
      <c r="C41" s="81">
        <v>22</v>
      </c>
      <c r="D41" s="85">
        <f>C41</f>
        <v>22</v>
      </c>
      <c r="E41" s="101" t="str">
        <f t="shared" si="1"/>
        <v>-</v>
      </c>
      <c r="F41" s="102">
        <f t="shared" si="2"/>
        <v>1</v>
      </c>
      <c r="H41" s="99"/>
    </row>
    <row r="42" spans="1:8" ht="28.5" customHeight="1">
      <c r="A42" s="42" t="s">
        <v>41</v>
      </c>
      <c r="B42" s="44" t="s">
        <v>34</v>
      </c>
      <c r="C42" s="81">
        <v>22</v>
      </c>
      <c r="D42" s="85">
        <f aca="true" t="shared" si="4" ref="D42:D61">C42</f>
        <v>22</v>
      </c>
      <c r="E42" s="101" t="str">
        <f t="shared" si="1"/>
        <v>-</v>
      </c>
      <c r="F42" s="102">
        <f t="shared" si="2"/>
        <v>1</v>
      </c>
      <c r="H42" s="99"/>
    </row>
    <row r="43" spans="1:8" ht="28.5" customHeight="1">
      <c r="A43" s="42" t="s">
        <v>42</v>
      </c>
      <c r="B43" s="43" t="s">
        <v>35</v>
      </c>
      <c r="C43" s="81">
        <v>0</v>
      </c>
      <c r="D43" s="85">
        <f t="shared" si="4"/>
        <v>0</v>
      </c>
      <c r="E43" s="101" t="str">
        <f t="shared" si="1"/>
        <v>-</v>
      </c>
      <c r="F43" s="102" t="str">
        <f t="shared" si="2"/>
        <v>-</v>
      </c>
      <c r="H43" s="99"/>
    </row>
    <row r="44" spans="1:8" ht="28.5" customHeight="1">
      <c r="A44" s="42" t="s">
        <v>43</v>
      </c>
      <c r="B44" s="43" t="s">
        <v>36</v>
      </c>
      <c r="C44" s="81">
        <v>0</v>
      </c>
      <c r="D44" s="85">
        <f t="shared" si="4"/>
        <v>0</v>
      </c>
      <c r="E44" s="101" t="str">
        <f t="shared" si="1"/>
        <v>-</v>
      </c>
      <c r="F44" s="102" t="str">
        <f t="shared" si="2"/>
        <v>-</v>
      </c>
      <c r="H44" s="99"/>
    </row>
    <row r="45" spans="1:8" ht="28.5" customHeight="1">
      <c r="A45" s="42" t="s">
        <v>44</v>
      </c>
      <c r="B45" s="43" t="s">
        <v>37</v>
      </c>
      <c r="C45" s="81">
        <v>0</v>
      </c>
      <c r="D45" s="85">
        <f t="shared" si="4"/>
        <v>0</v>
      </c>
      <c r="E45" s="101" t="str">
        <f t="shared" si="1"/>
        <v>-</v>
      </c>
      <c r="F45" s="102" t="str">
        <f t="shared" si="2"/>
        <v>-</v>
      </c>
      <c r="H45" s="99"/>
    </row>
    <row r="46" spans="1:8" ht="28.5" customHeight="1">
      <c r="A46" s="42" t="s">
        <v>45</v>
      </c>
      <c r="B46" s="43" t="s">
        <v>38</v>
      </c>
      <c r="C46" s="81">
        <v>170</v>
      </c>
      <c r="D46" s="85">
        <f t="shared" si="4"/>
        <v>170</v>
      </c>
      <c r="E46" s="101" t="str">
        <f t="shared" si="1"/>
        <v>-</v>
      </c>
      <c r="F46" s="102">
        <f t="shared" si="2"/>
        <v>1</v>
      </c>
      <c r="H46" s="99"/>
    </row>
    <row r="47" spans="1:8" ht="28.5" customHeight="1">
      <c r="A47" s="42" t="s">
        <v>46</v>
      </c>
      <c r="B47" s="43" t="s">
        <v>39</v>
      </c>
      <c r="C47" s="81">
        <v>53</v>
      </c>
      <c r="D47" s="85">
        <f>C47</f>
        <v>53</v>
      </c>
      <c r="E47" s="101" t="str">
        <f t="shared" si="1"/>
        <v>-</v>
      </c>
      <c r="F47" s="102">
        <f t="shared" si="2"/>
        <v>1</v>
      </c>
      <c r="H47" s="99"/>
    </row>
    <row r="48" spans="1:8" ht="28.5" customHeight="1">
      <c r="A48" s="31" t="s">
        <v>22</v>
      </c>
      <c r="B48" s="40" t="s">
        <v>186</v>
      </c>
      <c r="C48" s="81">
        <v>21394</v>
      </c>
      <c r="D48" s="85">
        <f>C48+283</f>
        <v>21677</v>
      </c>
      <c r="E48" s="101">
        <f t="shared" si="1"/>
        <v>283</v>
      </c>
      <c r="F48" s="102">
        <f t="shared" si="2"/>
        <v>1.0132</v>
      </c>
      <c r="H48" s="99"/>
    </row>
    <row r="49" spans="1:8" ht="28.5" customHeight="1">
      <c r="A49" s="42" t="s">
        <v>187</v>
      </c>
      <c r="B49" s="43" t="s">
        <v>188</v>
      </c>
      <c r="C49" s="81">
        <v>24</v>
      </c>
      <c r="D49" s="85">
        <f>C49</f>
        <v>24</v>
      </c>
      <c r="E49" s="101" t="str">
        <f t="shared" si="1"/>
        <v>-</v>
      </c>
      <c r="F49" s="102">
        <f t="shared" si="2"/>
        <v>1</v>
      </c>
      <c r="H49" s="99"/>
    </row>
    <row r="50" spans="1:8" ht="28.5" customHeight="1">
      <c r="A50" s="31" t="s">
        <v>23</v>
      </c>
      <c r="B50" s="41" t="s">
        <v>55</v>
      </c>
      <c r="C50" s="85">
        <f>C51+C52+C53+C54</f>
        <v>4750</v>
      </c>
      <c r="D50" s="85">
        <f>D51+D52+D53+D54</f>
        <v>4806</v>
      </c>
      <c r="E50" s="101">
        <f t="shared" si="1"/>
        <v>56</v>
      </c>
      <c r="F50" s="102">
        <f t="shared" si="2"/>
        <v>1.0118</v>
      </c>
      <c r="H50" s="99"/>
    </row>
    <row r="51" spans="1:8" ht="28.5" customHeight="1">
      <c r="A51" s="42" t="s">
        <v>51</v>
      </c>
      <c r="B51" s="43" t="s">
        <v>47</v>
      </c>
      <c r="C51" s="85">
        <v>3678</v>
      </c>
      <c r="D51" s="85">
        <f>C51+49</f>
        <v>3727</v>
      </c>
      <c r="E51" s="101">
        <f t="shared" si="1"/>
        <v>49</v>
      </c>
      <c r="F51" s="102">
        <f t="shared" si="2"/>
        <v>1.0133</v>
      </c>
      <c r="H51" s="99"/>
    </row>
    <row r="52" spans="1:8" ht="28.5" customHeight="1">
      <c r="A52" s="42" t="s">
        <v>52</v>
      </c>
      <c r="B52" s="43" t="s">
        <v>48</v>
      </c>
      <c r="C52" s="85">
        <v>524</v>
      </c>
      <c r="D52" s="85">
        <f>C52+7</f>
        <v>531</v>
      </c>
      <c r="E52" s="101">
        <f t="shared" si="1"/>
        <v>7</v>
      </c>
      <c r="F52" s="102">
        <f t="shared" si="2"/>
        <v>1.0134</v>
      </c>
      <c r="H52" s="99"/>
    </row>
    <row r="53" spans="1:8" ht="28.5" customHeight="1">
      <c r="A53" s="42" t="s">
        <v>53</v>
      </c>
      <c r="B53" s="43" t="s">
        <v>49</v>
      </c>
      <c r="C53" s="85">
        <v>0</v>
      </c>
      <c r="D53" s="85">
        <f t="shared" si="4"/>
        <v>0</v>
      </c>
      <c r="E53" s="101" t="str">
        <f t="shared" si="1"/>
        <v>-</v>
      </c>
      <c r="F53" s="102" t="str">
        <f t="shared" si="2"/>
        <v>-</v>
      </c>
      <c r="H53" s="99"/>
    </row>
    <row r="54" spans="1:8" ht="28.5" customHeight="1">
      <c r="A54" s="42" t="s">
        <v>54</v>
      </c>
      <c r="B54" s="43" t="s">
        <v>50</v>
      </c>
      <c r="C54" s="85">
        <v>548</v>
      </c>
      <c r="D54" s="85">
        <f t="shared" si="4"/>
        <v>548</v>
      </c>
      <c r="E54" s="101" t="str">
        <f t="shared" si="1"/>
        <v>-</v>
      </c>
      <c r="F54" s="102">
        <f t="shared" si="2"/>
        <v>1</v>
      </c>
      <c r="H54" s="99"/>
    </row>
    <row r="55" spans="1:8" ht="28.5" customHeight="1">
      <c r="A55" s="31" t="s">
        <v>24</v>
      </c>
      <c r="B55" s="40" t="s">
        <v>25</v>
      </c>
      <c r="C55" s="81">
        <v>0</v>
      </c>
      <c r="D55" s="85">
        <f>C55</f>
        <v>0</v>
      </c>
      <c r="E55" s="101" t="str">
        <f t="shared" si="1"/>
        <v>-</v>
      </c>
      <c r="F55" s="102" t="str">
        <f t="shared" si="2"/>
        <v>-</v>
      </c>
      <c r="H55" s="99"/>
    </row>
    <row r="56" spans="1:8" ht="28.5" customHeight="1">
      <c r="A56" s="31" t="s">
        <v>26</v>
      </c>
      <c r="B56" s="40" t="s">
        <v>189</v>
      </c>
      <c r="C56" s="81">
        <v>7000</v>
      </c>
      <c r="D56" s="85">
        <f>C56</f>
        <v>7000</v>
      </c>
      <c r="E56" s="101" t="str">
        <f t="shared" si="1"/>
        <v>-</v>
      </c>
      <c r="F56" s="105">
        <f t="shared" si="2"/>
        <v>1</v>
      </c>
      <c r="H56" s="99"/>
    </row>
    <row r="57" spans="1:8" ht="28.5" customHeight="1">
      <c r="A57" s="31" t="s">
        <v>27</v>
      </c>
      <c r="B57" s="40" t="s">
        <v>28</v>
      </c>
      <c r="C57" s="81">
        <v>316</v>
      </c>
      <c r="D57" s="85">
        <f>C57</f>
        <v>316</v>
      </c>
      <c r="E57" s="101" t="str">
        <f t="shared" si="1"/>
        <v>-</v>
      </c>
      <c r="F57" s="102">
        <f t="shared" si="2"/>
        <v>1</v>
      </c>
      <c r="H57" s="99"/>
    </row>
    <row r="58" spans="1:8" s="3" customFormat="1" ht="30" customHeight="1">
      <c r="A58" s="33" t="s">
        <v>29</v>
      </c>
      <c r="B58" s="45" t="s">
        <v>190</v>
      </c>
      <c r="C58" s="83">
        <f>C59+C60+C61+C62</f>
        <v>20970</v>
      </c>
      <c r="D58" s="27">
        <f>D59+D60+D61+D62</f>
        <v>20970</v>
      </c>
      <c r="E58" s="13" t="str">
        <f t="shared" si="1"/>
        <v>-</v>
      </c>
      <c r="F58" s="106">
        <f t="shared" si="2"/>
        <v>1</v>
      </c>
      <c r="H58" s="99"/>
    </row>
    <row r="59" spans="1:8" ht="42" customHeight="1">
      <c r="A59" s="31" t="s">
        <v>104</v>
      </c>
      <c r="B59" s="40" t="s">
        <v>126</v>
      </c>
      <c r="C59" s="81">
        <v>10</v>
      </c>
      <c r="D59" s="85">
        <f t="shared" si="4"/>
        <v>10</v>
      </c>
      <c r="E59" s="77" t="str">
        <f t="shared" si="1"/>
        <v>-</v>
      </c>
      <c r="F59" s="102">
        <f t="shared" si="2"/>
        <v>1</v>
      </c>
      <c r="H59" s="99"/>
    </row>
    <row r="60" spans="1:8" ht="31.5" customHeight="1">
      <c r="A60" s="31" t="s">
        <v>30</v>
      </c>
      <c r="B60" s="40" t="s">
        <v>57</v>
      </c>
      <c r="C60" s="81">
        <v>18295</v>
      </c>
      <c r="D60" s="85">
        <f t="shared" si="4"/>
        <v>18295</v>
      </c>
      <c r="E60" s="77" t="str">
        <f t="shared" si="1"/>
        <v>-</v>
      </c>
      <c r="F60" s="102">
        <f t="shared" si="2"/>
        <v>1</v>
      </c>
      <c r="H60" s="99"/>
    </row>
    <row r="61" spans="1:8" ht="31.5" customHeight="1">
      <c r="A61" s="31" t="s">
        <v>31</v>
      </c>
      <c r="B61" s="40" t="s">
        <v>106</v>
      </c>
      <c r="C61" s="81">
        <v>0</v>
      </c>
      <c r="D61" s="85">
        <f t="shared" si="4"/>
        <v>0</v>
      </c>
      <c r="E61" s="77" t="str">
        <f t="shared" si="1"/>
        <v>-</v>
      </c>
      <c r="F61" s="102" t="str">
        <f t="shared" si="2"/>
        <v>-</v>
      </c>
      <c r="H61" s="99"/>
    </row>
    <row r="62" spans="1:8" ht="31.5" customHeight="1">
      <c r="A62" s="31" t="s">
        <v>105</v>
      </c>
      <c r="B62" s="40" t="s">
        <v>107</v>
      </c>
      <c r="C62" s="81">
        <v>2665</v>
      </c>
      <c r="D62" s="85">
        <f>C62</f>
        <v>2665</v>
      </c>
      <c r="E62" s="77" t="str">
        <f t="shared" si="1"/>
        <v>-</v>
      </c>
      <c r="F62" s="102">
        <f t="shared" si="2"/>
        <v>1</v>
      </c>
      <c r="H62" s="99"/>
    </row>
    <row r="63" spans="1:8" ht="32.25" customHeight="1">
      <c r="A63" s="33" t="s">
        <v>112</v>
      </c>
      <c r="B63" s="45" t="s">
        <v>133</v>
      </c>
      <c r="C63" s="83">
        <v>300</v>
      </c>
      <c r="D63" s="27">
        <f>C63</f>
        <v>300</v>
      </c>
      <c r="E63" s="13" t="str">
        <f t="shared" si="1"/>
        <v>-</v>
      </c>
      <c r="F63" s="106">
        <f t="shared" si="2"/>
        <v>1</v>
      </c>
      <c r="H63" s="99"/>
    </row>
    <row r="100" ht="12.75">
      <c r="C100" s="2" t="s">
        <v>249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Tyszka Norbert</cp:lastModifiedBy>
  <cp:lastPrinted>2013-07-18T07:01:16Z</cp:lastPrinted>
  <dcterms:created xsi:type="dcterms:W3CDTF">2005-07-21T09:51:05Z</dcterms:created>
  <dcterms:modified xsi:type="dcterms:W3CDTF">2013-08-26T08:41:11Z</dcterms:modified>
  <cp:category/>
  <cp:version/>
  <cp:contentType/>
  <cp:contentStatus/>
</cp:coreProperties>
</file>